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backupFile="1" codeName="ThisWorkbook"/>
  <mc:AlternateContent xmlns:mc="http://schemas.openxmlformats.org/markup-compatibility/2006">
    <mc:Choice Requires="x15">
      <x15ac:absPath xmlns:x15ac="http://schemas.microsoft.com/office/spreadsheetml/2010/11/ac" url="G:\Drive partagés\DOKTOR\Simulation\"/>
    </mc:Choice>
  </mc:AlternateContent>
  <xr:revisionPtr revIDLastSave="0" documentId="8_{5C6D93F8-1535-4D52-BB05-6DFC855C2333}" xr6:coauthVersionLast="47" xr6:coauthVersionMax="47" xr10:uidLastSave="{00000000-0000-0000-0000-000000000000}"/>
  <bookViews>
    <workbookView xWindow="-105" yWindow="0" windowWidth="14610" windowHeight="15585"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Propu!$A$317:$A$324</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4" i="6" l="1"/>
  <c r="C133" i="6" s="1"/>
  <c r="C19" i="6"/>
  <c r="D25" i="7" s="1"/>
  <c r="C10" i="6"/>
  <c r="E10" i="6" s="1"/>
  <c r="C10" i="8" s="1"/>
  <c r="C140" i="6"/>
  <c r="B45" i="1"/>
  <c r="B43" i="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O7" i="6"/>
  <c r="O8" i="6"/>
  <c r="K25" i="7" s="1"/>
  <c r="M7" i="6"/>
  <c r="C15" i="6"/>
  <c r="H6" i="7" s="1"/>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H176" i="6"/>
  <c r="C177" i="6"/>
  <c r="F177" i="6"/>
  <c r="G177" i="6"/>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C163" i="6"/>
  <c r="O21" i="6"/>
  <c r="C167" i="6"/>
  <c r="C166" i="6"/>
  <c r="D161" i="6"/>
  <c r="E161" i="6" s="1"/>
  <c r="D158" i="6"/>
  <c r="E158" i="6" s="1"/>
  <c r="D162" i="6"/>
  <c r="E162" i="6" s="1"/>
  <c r="D160" i="6"/>
  <c r="E160" i="6" s="1"/>
  <c r="D159" i="6"/>
  <c r="E159" i="6" s="1"/>
  <c r="D166" i="6"/>
  <c r="E166" i="6" s="1"/>
  <c r="D167" i="6"/>
  <c r="E167" i="6" s="1"/>
  <c r="D163" i="6"/>
  <c r="E163" i="6" s="1"/>
  <c r="S206" i="4"/>
  <c r="R206" i="4"/>
  <c r="T206" i="4"/>
  <c r="U206" i="4"/>
  <c r="X205" i="4"/>
  <c r="W206" i="4" s="1"/>
  <c r="V206" i="4"/>
  <c r="X100" i="4"/>
  <c r="L105" i="4"/>
  <c r="C105" i="4"/>
  <c r="K105" i="4"/>
  <c r="O105" i="4"/>
  <c r="S100" i="4"/>
  <c r="U100" i="4"/>
  <c r="H100" i="4"/>
  <c r="Q100" i="4"/>
  <c r="Q105" i="4"/>
  <c r="D176" i="6" l="1"/>
  <c r="E176" i="6" s="1"/>
  <c r="D177" i="6"/>
  <c r="E177" i="6" s="1"/>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C35" i="6"/>
  <c r="E56" i="7" s="1"/>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B54" i="8"/>
  <c r="C54" i="8" s="1"/>
  <c r="D26" i="7"/>
  <c r="B53" i="8"/>
  <c r="C53" i="8" s="1"/>
  <c r="B60" i="8"/>
  <c r="C60" i="8" s="1"/>
  <c r="B66" i="8"/>
  <c r="C66" i="8" s="1"/>
  <c r="B52" i="8"/>
  <c r="C52" i="8" s="1"/>
  <c r="B57" i="8"/>
  <c r="C57" i="8" s="1"/>
  <c r="T14" i="6"/>
  <c r="C173" i="6"/>
  <c r="C172" i="6"/>
  <c r="C195" i="6"/>
  <c r="A317" i="4" a="1"/>
  <c r="A341" i="4" s="1"/>
  <c r="D148" i="4"/>
  <c r="F148" i="4" s="1"/>
  <c r="H28" i="1"/>
  <c r="H67" i="7"/>
  <c r="H17" i="7"/>
  <c r="B107" i="1"/>
  <c r="E24" i="1"/>
  <c r="B109" i="1"/>
  <c r="H48" i="1"/>
  <c r="B158" i="1"/>
  <c r="B132" i="1"/>
  <c r="G4" i="3"/>
  <c r="C139" i="6"/>
  <c r="C134" i="6"/>
  <c r="C143" i="6"/>
  <c r="C146" i="6"/>
  <c r="AD4" i="3"/>
  <c r="E190" i="6"/>
  <c r="D32" i="1"/>
  <c r="I68" i="7" s="1"/>
  <c r="AE4" i="3"/>
  <c r="T19" i="6"/>
  <c r="C142" i="6"/>
  <c r="C141" i="6"/>
  <c r="C145" i="6"/>
  <c r="I71" i="7"/>
  <c r="B77" i="8"/>
  <c r="C196" i="6"/>
  <c r="B196" i="6" s="1"/>
  <c r="C147" i="6"/>
  <c r="E42" i="7"/>
  <c r="E193" i="6"/>
  <c r="E189" i="6"/>
  <c r="C183" i="6"/>
  <c r="J90" i="7"/>
  <c r="F118" i="7" s="1"/>
  <c r="C132" i="6"/>
  <c r="F27" i="7"/>
  <c r="C137" i="6"/>
  <c r="C135" i="6"/>
  <c r="C138" i="6"/>
  <c r="E33" i="6"/>
  <c r="C144" i="6"/>
  <c r="T17" i="6"/>
  <c r="E14" i="7"/>
  <c r="B201" i="6"/>
  <c r="C201" i="6" s="1"/>
  <c r="B186" i="6"/>
  <c r="B200" i="6"/>
  <c r="C200" i="6" s="1"/>
  <c r="E183" i="6"/>
  <c r="B187" i="6"/>
  <c r="E184" i="6"/>
  <c r="B202" i="6"/>
  <c r="Y4" i="4"/>
  <c r="T3" i="4"/>
  <c r="Q3" i="4"/>
  <c r="E4" i="7" l="1"/>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H3" i="4"/>
  <c r="R2" i="4"/>
  <c r="E4" i="4"/>
  <c r="K3" i="4"/>
  <c r="D3" i="4"/>
  <c r="B4" i="4"/>
  <c r="M4" i="4"/>
  <c r="H2" i="4"/>
  <c r="I3" i="4"/>
  <c r="I4" i="4"/>
  <c r="Q4" i="4"/>
  <c r="C4" i="4"/>
  <c r="N4" i="4"/>
  <c r="C3" i="4"/>
  <c r="P4" i="4"/>
  <c r="Z2" i="4"/>
  <c r="V3" i="4"/>
  <c r="M3" i="4"/>
  <c r="G4" i="4"/>
  <c r="E3" i="4"/>
  <c r="N2" i="4"/>
  <c r="D4" i="4"/>
  <c r="X2" i="4"/>
  <c r="B3" i="4"/>
  <c r="F3" i="4"/>
  <c r="P2" i="4"/>
  <c r="R4" i="4"/>
  <c r="K4" i="4"/>
  <c r="G3" i="4"/>
  <c r="T2" i="4"/>
  <c r="L3" i="4"/>
  <c r="Y3" i="4"/>
  <c r="T4" i="4"/>
  <c r="W4" i="4"/>
  <c r="J2" i="4"/>
  <c r="O4" i="4"/>
  <c r="J4" i="4"/>
  <c r="V4" i="4"/>
  <c r="V2" i="4"/>
  <c r="S4" i="4"/>
  <c r="U4" i="4"/>
  <c r="P3" i="4"/>
  <c r="L2" i="4"/>
  <c r="O3" i="4"/>
  <c r="L4" i="4"/>
  <c r="X4" i="4"/>
  <c r="R3" i="4"/>
  <c r="N3" i="4"/>
  <c r="F4" i="4"/>
  <c r="U3" i="4"/>
  <c r="H4" i="4"/>
  <c r="W3" i="4"/>
  <c r="S3" i="4"/>
  <c r="J3" i="4"/>
  <c r="X3" i="4"/>
  <c r="P14" i="6" l="1"/>
  <c r="E28" i="6"/>
  <c r="D164" i="6"/>
  <c r="E164" i="6" s="1"/>
  <c r="D165" i="6"/>
  <c r="E165" i="6" s="1"/>
  <c r="A5" i="3"/>
  <c r="B5" i="3" s="1"/>
  <c r="Z5" i="3" s="1"/>
  <c r="N12" i="6"/>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M12" i="6"/>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D61" i="8" l="1"/>
  <c r="D68" i="8"/>
  <c r="D59" i="8"/>
  <c r="M14" i="6"/>
  <c r="P15" i="6" s="1"/>
  <c r="M15" i="6" s="1"/>
  <c r="J42" i="7" s="1"/>
  <c r="D45" i="8"/>
  <c r="D52" i="8"/>
  <c r="D63" i="8"/>
  <c r="D60" i="8"/>
  <c r="D47" i="8"/>
  <c r="D48" i="8"/>
  <c r="D46" i="8"/>
  <c r="D57" i="8"/>
  <c r="D69" i="8"/>
  <c r="D58" i="8"/>
  <c r="F58" i="8" s="1"/>
  <c r="I58" i="8" s="1"/>
  <c r="D67" i="8"/>
  <c r="E67" i="8" s="1"/>
  <c r="H67" i="8" s="1"/>
  <c r="D44" i="8"/>
  <c r="E44" i="8" s="1"/>
  <c r="H44" i="8" s="1"/>
  <c r="D64" i="8"/>
  <c r="E64" i="8" s="1"/>
  <c r="H64" i="8" s="1"/>
  <c r="D55" i="8"/>
  <c r="F55" i="8" s="1"/>
  <c r="I55" i="8" s="1"/>
  <c r="D66" i="8"/>
  <c r="E66" i="8" s="1"/>
  <c r="H66" i="8" s="1"/>
  <c r="D51" i="8"/>
  <c r="E51" i="8" s="1"/>
  <c r="H51" i="8" s="1"/>
  <c r="D65" i="8"/>
  <c r="E65" i="8" s="1"/>
  <c r="H65" i="8" s="1"/>
  <c r="D56" i="8"/>
  <c r="F56" i="8" s="1"/>
  <c r="I56" i="8" s="1"/>
  <c r="D54" i="8"/>
  <c r="E54" i="8" s="1"/>
  <c r="H54" i="8" s="1"/>
  <c r="N14" i="6"/>
  <c r="I41" i="7" s="1"/>
  <c r="D53" i="8"/>
  <c r="E53" i="8" s="1"/>
  <c r="H53" i="8" s="1"/>
  <c r="D50" i="8"/>
  <c r="F50" i="8" s="1"/>
  <c r="I50" i="8" s="1"/>
  <c r="D43" i="8"/>
  <c r="E43" i="8" s="1"/>
  <c r="H43" i="8" s="1"/>
  <c r="D49" i="8"/>
  <c r="E49" i="8" s="1"/>
  <c r="H49" i="8" s="1"/>
  <c r="D62" i="8"/>
  <c r="F62" i="8" s="1"/>
  <c r="I62" i="8" s="1"/>
  <c r="E11" i="7"/>
  <c r="H5" i="7"/>
  <c r="E107" i="7"/>
  <c r="H41" i="7"/>
  <c r="C11" i="8"/>
  <c r="E35" i="6"/>
  <c r="O22" i="6" s="1"/>
  <c r="O19" i="6" s="1"/>
  <c r="H28" i="6" s="1"/>
  <c r="C190" i="6" s="1"/>
  <c r="M22" i="6"/>
  <c r="C164" i="6"/>
  <c r="C165" i="6"/>
  <c r="AC5" i="3"/>
  <c r="P5" i="3"/>
  <c r="Q5" i="3" s="1"/>
  <c r="A6" i="3"/>
  <c r="B6" i="3" s="1"/>
  <c r="AC6" i="3" s="1"/>
  <c r="AA5" i="3"/>
  <c r="AD5" i="3"/>
  <c r="C204" i="6"/>
  <c r="Q194" i="4"/>
  <c r="O196" i="4"/>
  <c r="V111" i="4"/>
  <c r="X110" i="4"/>
  <c r="E128" i="6"/>
  <c r="D129" i="6"/>
  <c r="X200" i="4"/>
  <c r="V201" i="4"/>
  <c r="W226" i="4"/>
  <c r="X226" i="4"/>
  <c r="X191" i="4"/>
  <c r="W191" i="4"/>
  <c r="W216" i="4"/>
  <c r="X216" i="4"/>
  <c r="V236" i="4"/>
  <c r="X235" i="4"/>
  <c r="C153" i="6"/>
  <c r="F52" i="8" l="1"/>
  <c r="I52" i="8" s="1"/>
  <c r="E52" i="8"/>
  <c r="H52" i="8" s="1"/>
  <c r="F46" i="8"/>
  <c r="I46" i="8" s="1"/>
  <c r="E46" i="8"/>
  <c r="H46" i="8" s="1"/>
  <c r="F61" i="8"/>
  <c r="I61" i="8" s="1"/>
  <c r="E61" i="8"/>
  <c r="H61" i="8" s="1"/>
  <c r="E45" i="8"/>
  <c r="H45" i="8" s="1"/>
  <c r="F45" i="8"/>
  <c r="I45" i="8" s="1"/>
  <c r="F69" i="8"/>
  <c r="I69" i="8" s="1"/>
  <c r="E69" i="8"/>
  <c r="H69" i="8" s="1"/>
  <c r="F48" i="8"/>
  <c r="I48" i="8" s="1"/>
  <c r="E48" i="8"/>
  <c r="H48" i="8" s="1"/>
  <c r="E63" i="8"/>
  <c r="H63" i="8" s="1"/>
  <c r="F63" i="8"/>
  <c r="I63" i="8" s="1"/>
  <c r="E57" i="8"/>
  <c r="H57" i="8" s="1"/>
  <c r="F57" i="8"/>
  <c r="I57" i="8" s="1"/>
  <c r="F107" i="7"/>
  <c r="E58" i="7"/>
  <c r="H65" i="7" s="1"/>
  <c r="E60" i="8"/>
  <c r="H60" i="8" s="1"/>
  <c r="F60" i="8"/>
  <c r="I60" i="8" s="1"/>
  <c r="E47" i="8"/>
  <c r="H47" i="8" s="1"/>
  <c r="F47" i="8"/>
  <c r="I47" i="8" s="1"/>
  <c r="F68" i="8"/>
  <c r="I68" i="8" s="1"/>
  <c r="E68" i="8"/>
  <c r="H68" i="8" s="1"/>
  <c r="E59" i="8"/>
  <c r="H59" i="8" s="1"/>
  <c r="F59" i="8"/>
  <c r="I59" i="8" s="1"/>
  <c r="C11" i="1"/>
  <c r="S4" i="3" s="1"/>
  <c r="T4" i="3" s="1"/>
  <c r="U4" i="3" s="1"/>
  <c r="J41" i="7"/>
  <c r="C12" i="8"/>
  <c r="F44" i="8"/>
  <c r="I44" i="8" s="1"/>
  <c r="F67" i="8"/>
  <c r="I67" i="8" s="1"/>
  <c r="F64" i="8"/>
  <c r="I64" i="8" s="1"/>
  <c r="E58" i="8"/>
  <c r="H58" i="8" s="1"/>
  <c r="F66" i="8"/>
  <c r="I66" i="8" s="1"/>
  <c r="E55" i="8"/>
  <c r="H55" i="8" s="1"/>
  <c r="F54" i="8"/>
  <c r="I54" i="8" s="1"/>
  <c r="F51" i="8"/>
  <c r="I51" i="8" s="1"/>
  <c r="F65" i="8"/>
  <c r="I65" i="8" s="1"/>
  <c r="F53" i="8"/>
  <c r="I53" i="8" s="1"/>
  <c r="E56" i="8"/>
  <c r="H56" i="8" s="1"/>
  <c r="C25" i="1"/>
  <c r="C32" i="1" s="1"/>
  <c r="K49" i="1" s="1"/>
  <c r="E110" i="7"/>
  <c r="N15" i="6"/>
  <c r="I42" i="7" s="1"/>
  <c r="F49" i="8"/>
  <c r="I49" i="8" s="1"/>
  <c r="F43" i="8"/>
  <c r="I43" i="8" s="1"/>
  <c r="E50" i="8"/>
  <c r="H50" i="8" s="1"/>
  <c r="H42" i="7"/>
  <c r="D23" i="7"/>
  <c r="E108" i="7"/>
  <c r="E62" i="8"/>
  <c r="H62" i="8" s="1"/>
  <c r="M19" i="6"/>
  <c r="H31" i="6" s="1"/>
  <c r="H29" i="6" s="1"/>
  <c r="H47" i="7" s="1"/>
  <c r="AA6" i="3"/>
  <c r="A7" i="3"/>
  <c r="B7" i="3" s="1"/>
  <c r="P7" i="3" s="1"/>
  <c r="Q7" i="3" s="1"/>
  <c r="AD6" i="3"/>
  <c r="P6" i="3"/>
  <c r="Q6" i="3" s="1"/>
  <c r="Z6" i="3"/>
  <c r="C149" i="6"/>
  <c r="H46" i="7"/>
  <c r="D152" i="6"/>
  <c r="H13" i="7"/>
  <c r="R194" i="4"/>
  <c r="P196" i="4"/>
  <c r="F108" i="7"/>
  <c r="D213" i="4"/>
  <c r="F213" i="4" s="1"/>
  <c r="B191" i="6"/>
  <c r="C194" i="6"/>
  <c r="D223" i="4"/>
  <c r="F223" i="4" s="1"/>
  <c r="X111" i="4"/>
  <c r="W111" i="4"/>
  <c r="D108" i="4" s="1"/>
  <c r="D188" i="4"/>
  <c r="F188" i="4" s="1"/>
  <c r="D130" i="6"/>
  <c r="E130" i="6" s="1"/>
  <c r="E129" i="6"/>
  <c r="S28" i="6"/>
  <c r="C193" i="6"/>
  <c r="X236" i="4"/>
  <c r="W236" i="4"/>
  <c r="W201" i="4"/>
  <c r="X201" i="4"/>
  <c r="D198" i="4" s="1"/>
  <c r="D2" i="4"/>
  <c r="C155" i="6" l="1"/>
  <c r="H16" i="7"/>
  <c r="P28" i="1"/>
  <c r="H68" i="7"/>
  <c r="C150" i="6"/>
  <c r="H71" i="7"/>
  <c r="P29" i="1"/>
  <c r="I29" i="6"/>
  <c r="I47" i="7" s="1"/>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H14" i="7"/>
  <c r="B194" i="6"/>
  <c r="H30" i="6"/>
  <c r="H48" i="7" s="1"/>
  <c r="B190" i="6"/>
  <c r="S194" i="4"/>
  <c r="Q196" i="4"/>
  <c r="F108" i="4"/>
  <c r="D233" i="4"/>
  <c r="F233" i="4" s="1"/>
  <c r="F2" i="4"/>
  <c r="C156" i="6" l="1"/>
  <c r="S29" i="6"/>
  <c r="I14" i="7"/>
  <c r="I30"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H15" i="7"/>
  <c r="R196" i="4"/>
  <c r="T194" i="4"/>
  <c r="H33" i="6" l="1"/>
  <c r="S30" i="6"/>
  <c r="I48" i="7"/>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D193" i="4"/>
  <c r="AA15" i="3"/>
  <c r="P15" i="3"/>
  <c r="Q15" i="3" s="1"/>
  <c r="R15" i="3" s="1"/>
  <c r="AC15" i="3"/>
  <c r="Z15" i="3"/>
  <c r="AD15" i="3"/>
  <c r="A16" i="3"/>
  <c r="B16" i="3" s="1"/>
  <c r="K6" i="3" l="1"/>
  <c r="M6" i="3"/>
  <c r="N6" i="3" s="1"/>
  <c r="S11" i="3"/>
  <c r="T11" i="3" s="1"/>
  <c r="F6" i="3"/>
  <c r="I6" i="3"/>
  <c r="F193" i="4"/>
  <c r="AA16" i="3"/>
  <c r="AD16" i="3"/>
  <c r="AC16" i="3"/>
  <c r="P16" i="3"/>
  <c r="Q16" i="3" s="1"/>
  <c r="R16" i="3" s="1"/>
  <c r="Z16" i="3"/>
  <c r="A17" i="3"/>
  <c r="B17" i="3" s="1"/>
  <c r="L6" i="3" l="1"/>
  <c r="AE6" i="3"/>
  <c r="V6" i="3"/>
  <c r="W6" i="3" s="1"/>
  <c r="N36" i="1"/>
  <c r="M37" i="6"/>
  <c r="S12" i="3"/>
  <c r="S13" i="3" s="1"/>
  <c r="P17" i="3"/>
  <c r="Q17" i="3" s="1"/>
  <c r="R17" i="3" s="1"/>
  <c r="A18" i="3"/>
  <c r="B18" i="3" s="1"/>
  <c r="AC17" i="3"/>
  <c r="Z17" i="3"/>
  <c r="AD17" i="3"/>
  <c r="AA17" i="3"/>
  <c r="U6" i="3" l="1"/>
  <c r="Y5" i="3"/>
  <c r="T12" i="3"/>
  <c r="AH7" i="3"/>
  <c r="AG7" i="3"/>
  <c r="S14" i="3"/>
  <c r="T13" i="3"/>
  <c r="AA18" i="3"/>
  <c r="P18" i="3"/>
  <c r="Q18" i="3" s="1"/>
  <c r="R18" i="3" s="1"/>
  <c r="AC18" i="3"/>
  <c r="A19" i="3"/>
  <c r="B19" i="3" s="1"/>
  <c r="AD18" i="3"/>
  <c r="Z18" i="3"/>
  <c r="E7" i="3" l="1"/>
  <c r="H7" i="3" s="1"/>
  <c r="K7" i="3" s="1"/>
  <c r="D7" i="3"/>
  <c r="S15" i="3"/>
  <c r="T14" i="3"/>
  <c r="P19" i="3"/>
  <c r="Q19" i="3" s="1"/>
  <c r="R19" i="3" s="1"/>
  <c r="A20" i="3"/>
  <c r="B20" i="3" s="1"/>
  <c r="Z19" i="3"/>
  <c r="AD19" i="3"/>
  <c r="AA19" i="3"/>
  <c r="AC19" i="3"/>
  <c r="G7" i="3" l="1"/>
  <c r="F7" i="3"/>
  <c r="V7" i="3"/>
  <c r="AE7" i="3"/>
  <c r="T15" i="3"/>
  <c r="S16" i="3"/>
  <c r="P20" i="3"/>
  <c r="Q20" i="3" s="1"/>
  <c r="R20" i="3" s="1"/>
  <c r="A21" i="3"/>
  <c r="B21" i="3" s="1"/>
  <c r="AA20" i="3"/>
  <c r="Z20" i="3"/>
  <c r="AD20" i="3"/>
  <c r="AC20" i="3"/>
  <c r="M7" i="3" l="1"/>
  <c r="N7" i="3" s="1"/>
  <c r="I7" i="3"/>
  <c r="W7" i="3" s="1"/>
  <c r="J7" i="3"/>
  <c r="L7" i="3" s="1"/>
  <c r="T16" i="3"/>
  <c r="S17" i="3"/>
  <c r="AD21" i="3"/>
  <c r="P21" i="3"/>
  <c r="Q21" i="3" s="1"/>
  <c r="R21" i="3" s="1"/>
  <c r="AC21" i="3"/>
  <c r="AA21" i="3"/>
  <c r="Z21" i="3"/>
  <c r="A22" i="3"/>
  <c r="B22" i="3" s="1"/>
  <c r="Y6" i="3" l="1"/>
  <c r="U7" i="3"/>
  <c r="AH8" i="3"/>
  <c r="AG8" i="3"/>
  <c r="T17" i="3"/>
  <c r="S18" i="3"/>
  <c r="AC22" i="3"/>
  <c r="A23" i="3"/>
  <c r="B23" i="3" s="1"/>
  <c r="AD22" i="3"/>
  <c r="AA22" i="3"/>
  <c r="Z22" i="3"/>
  <c r="P22" i="3"/>
  <c r="Q22" i="3" s="1"/>
  <c r="R22" i="3" s="1"/>
  <c r="E8" i="3" l="1"/>
  <c r="H8" i="3" s="1"/>
  <c r="K8" i="3" s="1"/>
  <c r="D8" i="3"/>
  <c r="S19" i="3"/>
  <c r="T18" i="3"/>
  <c r="A24" i="3"/>
  <c r="B24" i="3" s="1"/>
  <c r="Z23" i="3"/>
  <c r="AA23" i="3"/>
  <c r="AC23" i="3"/>
  <c r="AD23" i="3"/>
  <c r="P23" i="3"/>
  <c r="Q23" i="3" s="1"/>
  <c r="R23" i="3" s="1"/>
  <c r="AE8" i="3" l="1"/>
  <c r="V8" i="3"/>
  <c r="F8" i="3"/>
  <c r="G8" i="3"/>
  <c r="S20" i="3"/>
  <c r="T19" i="3"/>
  <c r="AA24" i="3"/>
  <c r="Z24" i="3"/>
  <c r="AC24" i="3"/>
  <c r="AD24" i="3"/>
  <c r="A25" i="3"/>
  <c r="B25" i="3" s="1"/>
  <c r="P24" i="3"/>
  <c r="Q24" i="3" s="1"/>
  <c r="R24" i="3" s="1"/>
  <c r="J8" i="3" l="1"/>
  <c r="L8" i="3" s="1"/>
  <c r="M8" i="3"/>
  <c r="N8" i="3" s="1"/>
  <c r="I8" i="3"/>
  <c r="W8" i="3" s="1"/>
  <c r="S21" i="3"/>
  <c r="T20" i="3"/>
  <c r="P25" i="3"/>
  <c r="Q25" i="3" s="1"/>
  <c r="R25" i="3" s="1"/>
  <c r="Z25" i="3"/>
  <c r="A26" i="3"/>
  <c r="B26" i="3" s="1"/>
  <c r="AC25" i="3"/>
  <c r="AA25" i="3"/>
  <c r="AD25" i="3"/>
  <c r="Y7" i="3" l="1"/>
  <c r="AG9" i="3"/>
  <c r="AH9" i="3"/>
  <c r="U8" i="3"/>
  <c r="T21" i="3"/>
  <c r="S22" i="3"/>
  <c r="AD26" i="3"/>
  <c r="P26" i="3"/>
  <c r="Q26" i="3" s="1"/>
  <c r="R26" i="3" s="1"/>
  <c r="A27" i="3"/>
  <c r="B27" i="3" s="1"/>
  <c r="AA26" i="3"/>
  <c r="Z26" i="3"/>
  <c r="AC26" i="3"/>
  <c r="E9" i="3" l="1"/>
  <c r="H9" i="3" s="1"/>
  <c r="K9" i="3" s="1"/>
  <c r="D9" i="3"/>
  <c r="T22" i="3"/>
  <c r="S23" i="3"/>
  <c r="P27" i="3"/>
  <c r="Q27" i="3" s="1"/>
  <c r="R27" i="3" s="1"/>
  <c r="Z27" i="3"/>
  <c r="AA27" i="3"/>
  <c r="AD27" i="3"/>
  <c r="A28" i="3"/>
  <c r="B28" i="3" s="1"/>
  <c r="AC27" i="3"/>
  <c r="V9" i="3" l="1"/>
  <c r="AE9" i="3"/>
  <c r="F9" i="3"/>
  <c r="G9" i="3"/>
  <c r="S24" i="3"/>
  <c r="T23" i="3"/>
  <c r="Z28" i="3"/>
  <c r="P28" i="3"/>
  <c r="Q28" i="3" s="1"/>
  <c r="R28" i="3" s="1"/>
  <c r="A29" i="3"/>
  <c r="B29" i="3" s="1"/>
  <c r="AA28" i="3"/>
  <c r="AC28" i="3"/>
  <c r="AD28" i="3"/>
  <c r="M9" i="3" l="1"/>
  <c r="N9" i="3" s="1"/>
  <c r="J9" i="3"/>
  <c r="L9" i="3" s="1"/>
  <c r="I9" i="3"/>
  <c r="W9" i="3" s="1"/>
  <c r="S25" i="3"/>
  <c r="T24" i="3"/>
  <c r="AC29" i="3"/>
  <c r="P29" i="3"/>
  <c r="Q29" i="3" s="1"/>
  <c r="R29" i="3" s="1"/>
  <c r="A30" i="3"/>
  <c r="B30" i="3" s="1"/>
  <c r="AD29" i="3"/>
  <c r="Z29" i="3"/>
  <c r="AA29" i="3"/>
  <c r="Y8" i="3" l="1"/>
  <c r="AG10" i="3"/>
  <c r="AH10" i="3"/>
  <c r="U9" i="3"/>
  <c r="T25" i="3"/>
  <c r="S26" i="3"/>
  <c r="Z30" i="3"/>
  <c r="P30" i="3"/>
  <c r="Q30" i="3" s="1"/>
  <c r="R30" i="3" s="1"/>
  <c r="AC30" i="3"/>
  <c r="AA30" i="3"/>
  <c r="AD30" i="3"/>
  <c r="A31" i="3"/>
  <c r="B31" i="3" s="1"/>
  <c r="D10" i="3" l="1"/>
  <c r="E10" i="3"/>
  <c r="H10" i="3" s="1"/>
  <c r="K10" i="3" s="1"/>
  <c r="T26" i="3"/>
  <c r="S27" i="3"/>
  <c r="AC31" i="3"/>
  <c r="A32" i="3"/>
  <c r="B32" i="3" s="1"/>
  <c r="Z31" i="3"/>
  <c r="P31" i="3"/>
  <c r="Q31" i="3" s="1"/>
  <c r="R31" i="3" s="1"/>
  <c r="AD31" i="3"/>
  <c r="AA31" i="3"/>
  <c r="G10" i="3" l="1"/>
  <c r="F10" i="3"/>
  <c r="AE10" i="3"/>
  <c r="V10" i="3"/>
  <c r="S28" i="3"/>
  <c r="T27" i="3"/>
  <c r="A33" i="3"/>
  <c r="B33" i="3" s="1"/>
  <c r="Z32" i="3"/>
  <c r="P32" i="3"/>
  <c r="Q32" i="3" s="1"/>
  <c r="R32" i="3" s="1"/>
  <c r="AD32" i="3"/>
  <c r="AC32" i="3"/>
  <c r="AA32" i="3"/>
  <c r="M10" i="3" l="1"/>
  <c r="N10" i="3" s="1"/>
  <c r="J10" i="3"/>
  <c r="L10" i="3" s="1"/>
  <c r="I10" i="3"/>
  <c r="W10" i="3" s="1"/>
  <c r="S29" i="3"/>
  <c r="T28" i="3"/>
  <c r="P33" i="3"/>
  <c r="Q33" i="3" s="1"/>
  <c r="R33" i="3" s="1"/>
  <c r="AC33" i="3"/>
  <c r="A34" i="3"/>
  <c r="B34" i="3" s="1"/>
  <c r="AA33" i="3"/>
  <c r="Z33" i="3"/>
  <c r="AD33" i="3"/>
  <c r="AG11" i="3" l="1"/>
  <c r="AH11" i="3"/>
  <c r="U10" i="3"/>
  <c r="Y9" i="3"/>
  <c r="T29" i="3"/>
  <c r="S30" i="3"/>
  <c r="Z34" i="3"/>
  <c r="P34" i="3"/>
  <c r="Q34" i="3" s="1"/>
  <c r="R34" i="3" s="1"/>
  <c r="AC34" i="3"/>
  <c r="AD34" i="3"/>
  <c r="A35" i="3"/>
  <c r="B35" i="3" s="1"/>
  <c r="AA34" i="3"/>
  <c r="E11" i="3" l="1"/>
  <c r="H11" i="3" s="1"/>
  <c r="K11" i="3" s="1"/>
  <c r="D11" i="3"/>
  <c r="S31" i="3"/>
  <c r="T30" i="3"/>
  <c r="A36" i="3"/>
  <c r="B36" i="3" s="1"/>
  <c r="Z35" i="3"/>
  <c r="AD35" i="3"/>
  <c r="AA35" i="3"/>
  <c r="AC35" i="3"/>
  <c r="P35" i="3"/>
  <c r="Q35" i="3" s="1"/>
  <c r="R35" i="3" s="1"/>
  <c r="V11" i="3" l="1"/>
  <c r="AE11" i="3"/>
  <c r="F11" i="3"/>
  <c r="G11" i="3"/>
  <c r="T31" i="3"/>
  <c r="S32" i="3"/>
  <c r="AD36" i="3"/>
  <c r="AA36" i="3"/>
  <c r="P36" i="3"/>
  <c r="Q36" i="3" s="1"/>
  <c r="R36" i="3" s="1"/>
  <c r="Z36" i="3"/>
  <c r="A37" i="3"/>
  <c r="B37" i="3" s="1"/>
  <c r="AC36" i="3"/>
  <c r="I11" i="3" l="1"/>
  <c r="W11" i="3" s="1"/>
  <c r="J11" i="3"/>
  <c r="L11" i="3" s="1"/>
  <c r="M11" i="3"/>
  <c r="N11" i="3" s="1"/>
  <c r="T32" i="3"/>
  <c r="S33" i="3"/>
  <c r="AD37" i="3"/>
  <c r="Z37" i="3"/>
  <c r="AA37" i="3"/>
  <c r="AC37" i="3"/>
  <c r="P37" i="3"/>
  <c r="Q37" i="3" s="1"/>
  <c r="R37" i="3" s="1"/>
  <c r="A38" i="3"/>
  <c r="B38" i="3" s="1"/>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D44" i="3"/>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AD184" i="3" l="1"/>
  <c r="Z184" i="3"/>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U204" i="3" l="1"/>
  <c r="Y203" i="3"/>
  <c r="T205" i="3"/>
  <c r="AH205" i="3" s="1"/>
  <c r="E205" i="3" l="1"/>
  <c r="H205" i="3" s="1"/>
  <c r="D205" i="3"/>
  <c r="AG205" i="3"/>
  <c r="K205" i="3" l="1"/>
  <c r="F205" i="3"/>
  <c r="G205" i="3"/>
  <c r="V205" i="3" l="1"/>
  <c r="A206" i="3"/>
  <c r="B206" i="3" s="1"/>
  <c r="AE205" i="3"/>
  <c r="I205" i="3"/>
  <c r="J205" i="3"/>
  <c r="AD205" i="3" s="1"/>
  <c r="M205" i="3"/>
  <c r="N205" i="3" s="1"/>
  <c r="W205" i="3" l="1"/>
  <c r="L205" i="3"/>
  <c r="AC206" i="3"/>
  <c r="P206" i="3"/>
  <c r="Q206" i="3" s="1"/>
  <c r="R206" i="3" s="1"/>
  <c r="S206" i="3" s="1"/>
  <c r="Z206" i="3"/>
  <c r="AA206" i="3"/>
  <c r="T206" i="3" l="1"/>
  <c r="AH206" i="3" s="1"/>
  <c r="U205" i="3"/>
  <c r="Y204" i="3"/>
  <c r="AG206" i="3" l="1"/>
  <c r="D206" i="3"/>
  <c r="E206" i="3"/>
  <c r="H206" i="3" s="1"/>
  <c r="F206" i="3" l="1"/>
  <c r="G206" i="3"/>
  <c r="K206" i="3"/>
  <c r="I206" i="3" l="1"/>
  <c r="J206" i="3"/>
  <c r="AD206" i="3" s="1"/>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A209" i="3"/>
  <c r="Z209" i="3"/>
  <c r="U208" i="3" l="1"/>
  <c r="Y207" i="3"/>
  <c r="T209" i="3"/>
  <c r="AH209" i="3" s="1"/>
  <c r="AG209" i="3" l="1"/>
  <c r="D209" i="3"/>
  <c r="G209" i="3" s="1"/>
  <c r="E209" i="3"/>
  <c r="H209" i="3" s="1"/>
  <c r="F209" i="3" l="1"/>
  <c r="K209" i="3"/>
  <c r="I209" i="3"/>
  <c r="J209" i="3"/>
  <c r="AD209" i="3" s="1"/>
  <c r="M209" i="3"/>
  <c r="N209" i="3" s="1"/>
  <c r="L209" i="3" l="1"/>
  <c r="V209" i="3"/>
  <c r="W209" i="3" s="1"/>
  <c r="A210" i="3"/>
  <c r="B210" i="3" s="1"/>
  <c r="AE209" i="3"/>
  <c r="AC210" i="3" l="1"/>
  <c r="Z210" i="3"/>
  <c r="P210" i="3"/>
  <c r="Q210" i="3" s="1"/>
  <c r="R210" i="3" s="1"/>
  <c r="S210" i="3" s="1"/>
  <c r="AA210" i="3"/>
  <c r="U209" i="3"/>
  <c r="Y208" i="3"/>
  <c r="T210" i="3" l="1"/>
  <c r="AG210" i="3" s="1"/>
  <c r="AH210" i="3" l="1"/>
  <c r="D210" i="3"/>
  <c r="E210" i="3"/>
  <c r="H210" i="3" s="1"/>
  <c r="F210" i="3" l="1"/>
  <c r="G210" i="3"/>
  <c r="K210" i="3"/>
  <c r="V210" i="3" l="1"/>
  <c r="AE210" i="3"/>
  <c r="A211" i="3"/>
  <c r="B211" i="3" s="1"/>
  <c r="I210" i="3"/>
  <c r="J210" i="3"/>
  <c r="AD210" i="3" s="1"/>
  <c r="M210" i="3"/>
  <c r="N210" i="3" s="1"/>
  <c r="W210" i="3" l="1"/>
  <c r="AC211" i="3"/>
  <c r="Z211" i="3"/>
  <c r="P211" i="3"/>
  <c r="Q211" i="3" s="1"/>
  <c r="R211" i="3" s="1"/>
  <c r="S211" i="3" s="1"/>
  <c r="AA211" i="3"/>
  <c r="L210" i="3"/>
  <c r="T211" i="3" l="1"/>
  <c r="AG211" i="3" s="1"/>
  <c r="U210" i="3"/>
  <c r="Y209" i="3"/>
  <c r="E211" i="3" l="1"/>
  <c r="H211" i="3" s="1"/>
  <c r="D211" i="3"/>
  <c r="AH211" i="3"/>
  <c r="K211" i="3" l="1"/>
  <c r="F211" i="3"/>
  <c r="G211" i="3"/>
  <c r="I211" i="3" l="1"/>
  <c r="J211" i="3"/>
  <c r="AD211" i="3" s="1"/>
  <c r="M211" i="3"/>
  <c r="N211" i="3" s="1"/>
  <c r="V211" i="3"/>
  <c r="AE211" i="3"/>
  <c r="A212" i="3"/>
  <c r="B212" i="3" s="1"/>
  <c r="W211" i="3" l="1"/>
  <c r="AA212" i="3"/>
  <c r="Z212" i="3"/>
  <c r="P212" i="3"/>
  <c r="Q212" i="3" s="1"/>
  <c r="R212" i="3" s="1"/>
  <c r="S212" i="3" s="1"/>
  <c r="AC212" i="3"/>
  <c r="L211" i="3"/>
  <c r="U211" i="3" l="1"/>
  <c r="Y210" i="3"/>
  <c r="T212" i="3"/>
  <c r="E212" i="3" l="1"/>
  <c r="H212" i="3" s="1"/>
  <c r="K212" i="3" s="1"/>
  <c r="AH212" i="3"/>
  <c r="AG212" i="3"/>
  <c r="D212" i="3"/>
  <c r="F212" i="3" l="1"/>
  <c r="G212" i="3"/>
  <c r="V212" i="3"/>
  <c r="A213" i="3"/>
  <c r="B213" i="3" s="1"/>
  <c r="AE212" i="3"/>
  <c r="AC213" i="3" l="1"/>
  <c r="P213" i="3"/>
  <c r="Q213" i="3" s="1"/>
  <c r="R213" i="3" s="1"/>
  <c r="S213" i="3" s="1"/>
  <c r="AA213" i="3"/>
  <c r="Z213" i="3"/>
  <c r="I212" i="3"/>
  <c r="W212" i="3" s="1"/>
  <c r="J212" i="3"/>
  <c r="AD212" i="3" s="1"/>
  <c r="M212" i="3"/>
  <c r="N212" i="3" s="1"/>
  <c r="T213" i="3" l="1"/>
  <c r="L212" i="3"/>
  <c r="U212" i="3" l="1"/>
  <c r="E213" i="3" s="1"/>
  <c r="H213" i="3" s="1"/>
  <c r="AH213" i="3"/>
  <c r="AG213" i="3"/>
  <c r="Y211" i="3"/>
  <c r="D213" i="3" l="1"/>
  <c r="G213" i="3" s="1"/>
  <c r="K213" i="3"/>
  <c r="F213" i="3" l="1"/>
  <c r="I213" i="3"/>
  <c r="J213" i="3"/>
  <c r="AD213" i="3" s="1"/>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AD217" i="3"/>
  <c r="T217" i="3" l="1"/>
  <c r="D217" i="3" s="1"/>
  <c r="G217" i="3" l="1"/>
  <c r="AG217" i="3"/>
  <c r="AH217" i="3"/>
  <c r="E217" i="3"/>
  <c r="H217" i="3" s="1"/>
  <c r="I217" i="3" l="1"/>
  <c r="J217" i="3"/>
  <c r="M217" i="3"/>
  <c r="N217" i="3" s="1"/>
  <c r="K217" i="3"/>
  <c r="AE217" i="3" s="1"/>
  <c r="F217" i="3"/>
  <c r="V217" i="3" l="1"/>
  <c r="W217" i="3" s="1"/>
  <c r="A218" i="3"/>
  <c r="B218" i="3" s="1"/>
  <c r="L217" i="3"/>
  <c r="U217" i="3" l="1"/>
  <c r="Y216" i="3"/>
  <c r="AC218" i="3"/>
  <c r="AA218" i="3"/>
  <c r="Z218" i="3"/>
  <c r="P218" i="3"/>
  <c r="Q218" i="3" s="1"/>
  <c r="R218" i="3" s="1"/>
  <c r="S218" i="3" s="1"/>
  <c r="AD218" i="3"/>
  <c r="T218" i="3" l="1"/>
  <c r="AG218" i="3" s="1"/>
  <c r="AH218" i="3" l="1"/>
  <c r="E218" i="3"/>
  <c r="H218" i="3" s="1"/>
  <c r="K218" i="3" s="1"/>
  <c r="AE218" i="3" s="1"/>
  <c r="D218" i="3"/>
  <c r="G218" i="3" s="1"/>
  <c r="F218" i="3" l="1"/>
  <c r="I218" i="3"/>
  <c r="J218" i="3"/>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D227" i="3"/>
  <c r="AC227" i="3"/>
  <c r="T227" i="3" l="1"/>
  <c r="D227" i="3" s="1"/>
  <c r="E227" i="3" l="1"/>
  <c r="H227" i="3" s="1"/>
  <c r="K227" i="3" s="1"/>
  <c r="AE227" i="3" s="1"/>
  <c r="AH227" i="3"/>
  <c r="AG227" i="3"/>
  <c r="G227" i="3"/>
  <c r="F227" i="3" l="1"/>
  <c r="V227" i="3"/>
  <c r="A228" i="3"/>
  <c r="B228" i="3" s="1"/>
  <c r="I227" i="3"/>
  <c r="J227" i="3"/>
  <c r="M227" i="3"/>
  <c r="N227" i="3" s="1"/>
  <c r="L227" i="3" l="1"/>
  <c r="W227" i="3"/>
  <c r="AD228"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D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L237" i="3" s="1"/>
  <c r="P238" i="3"/>
  <c r="Q238" i="3" s="1"/>
  <c r="R238" i="3" s="1"/>
  <c r="S238" i="3" s="1"/>
  <c r="Z238" i="3"/>
  <c r="AC238" i="3"/>
  <c r="AA238" i="3"/>
  <c r="AD238" i="3"/>
  <c r="T238" i="3" l="1"/>
  <c r="AG238" i="3" s="1"/>
  <c r="U237" i="3"/>
  <c r="Y236" i="3"/>
  <c r="AH238" i="3" l="1"/>
  <c r="E238" i="3"/>
  <c r="H238" i="3" s="1"/>
  <c r="K238" i="3" s="1"/>
  <c r="AE238" i="3" s="1"/>
  <c r="D238" i="3"/>
  <c r="F238" i="3" l="1"/>
  <c r="G238" i="3"/>
  <c r="M238" i="3" s="1"/>
  <c r="N238" i="3" s="1"/>
  <c r="V238" i="3"/>
  <c r="A239" i="3"/>
  <c r="B239" i="3" s="1"/>
  <c r="I238" i="3" l="1"/>
  <c r="W238" i="3" s="1"/>
  <c r="J238" i="3"/>
  <c r="L238" i="3" s="1"/>
  <c r="AD239" i="3"/>
  <c r="P239" i="3"/>
  <c r="Q239" i="3" s="1"/>
  <c r="R239" i="3" s="1"/>
  <c r="S239" i="3" s="1"/>
  <c r="AC239" i="3"/>
  <c r="Z239" i="3"/>
  <c r="AA239" i="3"/>
  <c r="T239" i="3" l="1"/>
  <c r="U238" i="3"/>
  <c r="Y237" i="3"/>
  <c r="D239" i="3" l="1"/>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AD247" i="3"/>
  <c r="U246" i="3" l="1"/>
  <c r="Y245" i="3"/>
  <c r="T247" i="3"/>
  <c r="AG247" i="3" s="1"/>
  <c r="AH247" i="3" l="1"/>
  <c r="D247" i="3"/>
  <c r="E247" i="3"/>
  <c r="H247" i="3" s="1"/>
  <c r="K247" i="3" s="1"/>
  <c r="AE247" i="3" s="1"/>
  <c r="F247" i="3" l="1"/>
  <c r="G247" i="3"/>
  <c r="M247" i="3" s="1"/>
  <c r="N247" i="3" s="1"/>
  <c r="V247" i="3"/>
  <c r="A248" i="3"/>
  <c r="B248" i="3" s="1"/>
  <c r="I247" i="3" l="1"/>
  <c r="W247" i="3" s="1"/>
  <c r="J247" i="3"/>
  <c r="L247" i="3" s="1"/>
  <c r="Z248" i="3"/>
  <c r="P248" i="3"/>
  <c r="Q248" i="3" s="1"/>
  <c r="R248" i="3" s="1"/>
  <c r="S248" i="3" s="1"/>
  <c r="AA248" i="3"/>
  <c r="AC248" i="3"/>
  <c r="AD248" i="3"/>
  <c r="U247" i="3" l="1"/>
  <c r="Y246" i="3"/>
  <c r="T248" i="3"/>
  <c r="AG248" i="3" s="1"/>
  <c r="E248" i="3" l="1"/>
  <c r="H248" i="3" s="1"/>
  <c r="K248" i="3" s="1"/>
  <c r="AE248" i="3" s="1"/>
  <c r="AH248" i="3"/>
  <c r="D248" i="3"/>
  <c r="G248" i="3" s="1"/>
  <c r="F248" i="3" l="1"/>
  <c r="I248" i="3"/>
  <c r="J248" i="3"/>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D257"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M257" i="3"/>
  <c r="N257" i="3" s="1"/>
  <c r="W257" i="3" l="1"/>
  <c r="L257" i="3"/>
  <c r="AC258" i="3"/>
  <c r="AD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AD267" i="3"/>
  <c r="T267" i="3" l="1"/>
  <c r="L266" i="3"/>
  <c r="AH267" i="3" l="1"/>
  <c r="AG267" i="3"/>
  <c r="U266" i="3"/>
  <c r="E267" i="3" s="1"/>
  <c r="H267" i="3" s="1"/>
  <c r="Y265" i="3"/>
  <c r="K267" i="3" l="1"/>
  <c r="AE267" i="3" s="1"/>
  <c r="D267" i="3"/>
  <c r="V267" i="3" l="1"/>
  <c r="A268" i="3"/>
  <c r="B268" i="3" s="1"/>
  <c r="F267" i="3"/>
  <c r="G267" i="3"/>
  <c r="I267" i="3" l="1"/>
  <c r="W267" i="3" s="1"/>
  <c r="J267" i="3"/>
  <c r="M267" i="3"/>
  <c r="N267" i="3" s="1"/>
  <c r="AC268" i="3"/>
  <c r="P268" i="3"/>
  <c r="Q268" i="3" s="1"/>
  <c r="R268" i="3" s="1"/>
  <c r="S268" i="3" s="1"/>
  <c r="Z268" i="3"/>
  <c r="AA268" i="3"/>
  <c r="AD268" i="3"/>
  <c r="T268" i="3" l="1"/>
  <c r="L267" i="3"/>
  <c r="U267" i="3" l="1"/>
  <c r="E268" i="3" s="1"/>
  <c r="H268" i="3" s="1"/>
  <c r="AH268" i="3"/>
  <c r="AG268" i="3"/>
  <c r="Y266" i="3"/>
  <c r="K268" i="3" l="1"/>
  <c r="AE268" i="3" s="1"/>
  <c r="D268" i="3"/>
  <c r="V268" i="3" l="1"/>
  <c r="A269" i="3"/>
  <c r="B269" i="3" s="1"/>
  <c r="F268" i="3"/>
  <c r="G268" i="3"/>
  <c r="I268" i="3" l="1"/>
  <c r="W268" i="3" s="1"/>
  <c r="J268" i="3"/>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D277" i="3"/>
  <c r="AA277" i="3"/>
  <c r="U276" i="3" l="1"/>
  <c r="Y275" i="3"/>
  <c r="T277" i="3"/>
  <c r="AG277" i="3" s="1"/>
  <c r="D277" i="3" l="1"/>
  <c r="G277" i="3" s="1"/>
  <c r="E277" i="3"/>
  <c r="H277" i="3" s="1"/>
  <c r="K277" i="3" s="1"/>
  <c r="AE277" i="3" s="1"/>
  <c r="AH277" i="3"/>
  <c r="F277" i="3" l="1"/>
  <c r="V277" i="3"/>
  <c r="A278" i="3"/>
  <c r="B278" i="3" s="1"/>
  <c r="I277" i="3"/>
  <c r="J277" i="3"/>
  <c r="M277" i="3"/>
  <c r="N277" i="3" s="1"/>
  <c r="W277" i="3" l="1"/>
  <c r="L277" i="3"/>
  <c r="AD278"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D287" i="3"/>
  <c r="AC287" i="3"/>
  <c r="T287" i="3" l="1"/>
  <c r="D287" i="3" s="1"/>
  <c r="G287" i="3" l="1"/>
  <c r="AH287" i="3"/>
  <c r="AG287" i="3"/>
  <c r="E287" i="3"/>
  <c r="H287" i="3" s="1"/>
  <c r="F287" i="3" l="1"/>
  <c r="K287" i="3"/>
  <c r="AE287" i="3" s="1"/>
  <c r="I287" i="3"/>
  <c r="J287" i="3"/>
  <c r="M287" i="3"/>
  <c r="N287" i="3" s="1"/>
  <c r="L287" i="3" l="1"/>
  <c r="V287" i="3"/>
  <c r="W287" i="3" s="1"/>
  <c r="A288" i="3"/>
  <c r="B288" i="3" s="1"/>
  <c r="U287" i="3" l="1"/>
  <c r="Y286" i="3"/>
  <c r="P288" i="3"/>
  <c r="Q288" i="3" s="1"/>
  <c r="R288" i="3" s="1"/>
  <c r="S288" i="3" s="1"/>
  <c r="AA288" i="3"/>
  <c r="AC288" i="3"/>
  <c r="AD288" i="3"/>
  <c r="Z288" i="3"/>
  <c r="T288" i="3" l="1"/>
  <c r="D288" i="3" s="1"/>
  <c r="AG288" i="3" l="1"/>
  <c r="AH288" i="3"/>
  <c r="E288" i="3"/>
  <c r="H288" i="3" s="1"/>
  <c r="K288" i="3" s="1"/>
  <c r="AE288" i="3" s="1"/>
  <c r="G288" i="3"/>
  <c r="F288" i="3" l="1"/>
  <c r="I288" i="3"/>
  <c r="J288" i="3"/>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AD297" i="3"/>
  <c r="T297" i="3" l="1"/>
  <c r="E297" i="3" s="1"/>
  <c r="H297" i="3" s="1"/>
  <c r="D297" i="3" l="1"/>
  <c r="F297" i="3" s="1"/>
  <c r="AG297" i="3"/>
  <c r="K297" i="3"/>
  <c r="AE297" i="3" s="1"/>
  <c r="AH297" i="3"/>
  <c r="G297" i="3" l="1"/>
  <c r="M297" i="3" s="1"/>
  <c r="N297" i="3" s="1"/>
  <c r="V297" i="3"/>
  <c r="A298" i="3"/>
  <c r="B298" i="3" s="1"/>
  <c r="J297" i="3" l="1"/>
  <c r="L297" i="3" s="1"/>
  <c r="I297" i="3"/>
  <c r="W297" i="3" s="1"/>
  <c r="Z298" i="3"/>
  <c r="AD298" i="3"/>
  <c r="P298" i="3"/>
  <c r="Q298" i="3" s="1"/>
  <c r="R298" i="3" s="1"/>
  <c r="S298" i="3" s="1"/>
  <c r="AA298" i="3"/>
  <c r="AC298" i="3"/>
  <c r="T298" i="3" l="1"/>
  <c r="U297" i="3"/>
  <c r="Y296" i="3"/>
  <c r="E298" i="3" l="1"/>
  <c r="H298" i="3" s="1"/>
  <c r="K298" i="3" s="1"/>
  <c r="AE298" i="3" s="1"/>
  <c r="AH298" i="3"/>
  <c r="D298" i="3"/>
  <c r="AG298" i="3"/>
  <c r="F298" i="3" l="1"/>
  <c r="G298" i="3"/>
  <c r="V298" i="3"/>
  <c r="A299" i="3"/>
  <c r="B299" i="3" s="1"/>
  <c r="I298" i="3" l="1"/>
  <c r="W298" i="3" s="1"/>
  <c r="J298" i="3"/>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AD307" i="3"/>
  <c r="T307" i="3" l="1"/>
  <c r="AH307" i="3" s="1"/>
  <c r="U306" i="3"/>
  <c r="Y305" i="3"/>
  <c r="D307" i="3" l="1"/>
  <c r="E307" i="3"/>
  <c r="H307" i="3" s="1"/>
  <c r="AG307" i="3"/>
  <c r="F307" i="3" l="1"/>
  <c r="G307" i="3"/>
  <c r="K307" i="3"/>
  <c r="AE307" i="3" s="1"/>
  <c r="I307" i="3" l="1"/>
  <c r="J307" i="3"/>
  <c r="M307" i="3"/>
  <c r="N307" i="3" s="1"/>
  <c r="V307" i="3"/>
  <c r="A308" i="3"/>
  <c r="B308" i="3" s="1"/>
  <c r="L307" i="3" l="1"/>
  <c r="Z308" i="3"/>
  <c r="AD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D317" i="3"/>
  <c r="AC317" i="3"/>
  <c r="T317" i="3" l="1"/>
  <c r="AG317" i="3" s="1"/>
  <c r="U316" i="3"/>
  <c r="Y315" i="3"/>
  <c r="E317" i="3" l="1"/>
  <c r="H317" i="3" s="1"/>
  <c r="K317" i="3" s="1"/>
  <c r="AE317" i="3" s="1"/>
  <c r="D317" i="3"/>
  <c r="AH317" i="3"/>
  <c r="V317" i="3" l="1"/>
  <c r="A318" i="3"/>
  <c r="B318" i="3" s="1"/>
  <c r="F317" i="3"/>
  <c r="G317" i="3"/>
  <c r="I317" i="3" l="1"/>
  <c r="W317" i="3" s="1"/>
  <c r="J317" i="3"/>
  <c r="M317" i="3"/>
  <c r="N317" i="3" s="1"/>
  <c r="AA318" i="3"/>
  <c r="P318" i="3"/>
  <c r="Q318" i="3" s="1"/>
  <c r="R318" i="3" s="1"/>
  <c r="S318" i="3" s="1"/>
  <c r="Z318" i="3"/>
  <c r="AC318" i="3"/>
  <c r="AD318" i="3"/>
  <c r="T318" i="3" l="1"/>
  <c r="L317" i="3"/>
  <c r="AH318" i="3" l="1"/>
  <c r="AG318" i="3"/>
  <c r="U317" i="3"/>
  <c r="E318" i="3" s="1"/>
  <c r="H318" i="3" s="1"/>
  <c r="Y316" i="3"/>
  <c r="K318" i="3" l="1"/>
  <c r="AE318" i="3" s="1"/>
  <c r="D318" i="3"/>
  <c r="V318" i="3" l="1"/>
  <c r="A319" i="3"/>
  <c r="B319" i="3" s="1"/>
  <c r="F318" i="3"/>
  <c r="G318" i="3"/>
  <c r="I318" i="3" l="1"/>
  <c r="W318" i="3" s="1"/>
  <c r="J318" i="3"/>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D367" i="3"/>
  <c r="AA367" i="3"/>
  <c r="T367" i="3" l="1"/>
  <c r="AG367" i="3" s="1"/>
  <c r="U366" i="3"/>
  <c r="Y365" i="3"/>
  <c r="D367" i="3" l="1"/>
  <c r="AH367" i="3"/>
  <c r="E367" i="3"/>
  <c r="H367" i="3" s="1"/>
  <c r="F367" i="3" l="1"/>
  <c r="G367" i="3"/>
  <c r="K367" i="3"/>
  <c r="AE367" i="3" s="1"/>
  <c r="I367" i="3" l="1"/>
  <c r="J367" i="3"/>
  <c r="M367" i="3"/>
  <c r="N367" i="3" s="1"/>
  <c r="V367" i="3"/>
  <c r="A368" i="3"/>
  <c r="B368" i="3" s="1"/>
  <c r="L367" i="3" l="1"/>
  <c r="W367" i="3"/>
  <c r="Z368" i="3"/>
  <c r="P368" i="3"/>
  <c r="Q368" i="3" s="1"/>
  <c r="R368" i="3" s="1"/>
  <c r="S368" i="3" s="1"/>
  <c r="AD368" i="3"/>
  <c r="AC368" i="3"/>
  <c r="AA368" i="3"/>
  <c r="T368" i="3" l="1"/>
  <c r="AH368" i="3" s="1"/>
  <c r="U367" i="3"/>
  <c r="Y366" i="3"/>
  <c r="E368" i="3" l="1"/>
  <c r="H368" i="3" s="1"/>
  <c r="K368" i="3" s="1"/>
  <c r="AE368" i="3" s="1"/>
  <c r="D368" i="3"/>
  <c r="AG368" i="3"/>
  <c r="V368" i="3" l="1"/>
  <c r="A369" i="3"/>
  <c r="B369" i="3" s="1"/>
  <c r="F368" i="3"/>
  <c r="G368" i="3"/>
  <c r="I368" i="3" l="1"/>
  <c r="W368" i="3" s="1"/>
  <c r="J368" i="3"/>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AD377" i="3"/>
  <c r="Z377" i="3"/>
  <c r="U376" i="3"/>
  <c r="Y375" i="3"/>
  <c r="T377" i="3" l="1"/>
  <c r="AH377" i="3" s="1"/>
  <c r="E377" i="3" l="1"/>
  <c r="H377" i="3" s="1"/>
  <c r="K377" i="3" s="1"/>
  <c r="AE377" i="3" s="1"/>
  <c r="D377" i="3"/>
  <c r="AG377" i="3"/>
  <c r="F377" i="3" l="1"/>
  <c r="G377" i="3"/>
  <c r="M377" i="3" s="1"/>
  <c r="N377" i="3" s="1"/>
  <c r="V377" i="3"/>
  <c r="A378" i="3"/>
  <c r="B378" i="3" s="1"/>
  <c r="I377" i="3" l="1"/>
  <c r="W377" i="3" s="1"/>
  <c r="J377" i="3"/>
  <c r="L377" i="3" s="1"/>
  <c r="AD378" i="3"/>
  <c r="Z378" i="3"/>
  <c r="AC378" i="3"/>
  <c r="P378" i="3"/>
  <c r="Q378" i="3" s="1"/>
  <c r="R378" i="3" s="1"/>
  <c r="S378" i="3" s="1"/>
  <c r="AA378" i="3"/>
  <c r="U377" i="3" l="1"/>
  <c r="Y376" i="3"/>
  <c r="T378" i="3"/>
  <c r="D378" i="3" l="1"/>
  <c r="G378" i="3" s="1"/>
  <c r="AG378" i="3"/>
  <c r="E378" i="3"/>
  <c r="H378" i="3" s="1"/>
  <c r="K378" i="3" s="1"/>
  <c r="AE378" i="3" s="1"/>
  <c r="AH378" i="3"/>
  <c r="F378" i="3" l="1"/>
  <c r="V378" i="3"/>
  <c r="A379" i="3"/>
  <c r="B379" i="3" s="1"/>
  <c r="I378" i="3"/>
  <c r="J378" i="3"/>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D387" i="3"/>
  <c r="AA387" i="3"/>
  <c r="P387" i="3"/>
  <c r="Q387" i="3" s="1"/>
  <c r="R387" i="3" s="1"/>
  <c r="S387" i="3" s="1"/>
  <c r="AC387" i="3"/>
  <c r="Z387" i="3"/>
  <c r="U386" i="3" l="1"/>
  <c r="Y385" i="3"/>
  <c r="T387" i="3"/>
  <c r="AG387" i="3" s="1"/>
  <c r="AH387" i="3" l="1"/>
  <c r="D387" i="3"/>
  <c r="G387" i="3" s="1"/>
  <c r="E387" i="3"/>
  <c r="H387" i="3" s="1"/>
  <c r="F387" i="3" l="1"/>
  <c r="I387" i="3"/>
  <c r="J387" i="3"/>
  <c r="M387" i="3"/>
  <c r="N387" i="3" s="1"/>
  <c r="K387" i="3"/>
  <c r="AE387" i="3" s="1"/>
  <c r="V387" i="3" l="1"/>
  <c r="W387" i="3" s="1"/>
  <c r="A388" i="3"/>
  <c r="B388" i="3" s="1"/>
  <c r="L387" i="3"/>
  <c r="U387" i="3" l="1"/>
  <c r="Y386" i="3"/>
  <c r="AA388" i="3"/>
  <c r="Z388" i="3"/>
  <c r="P388" i="3"/>
  <c r="Q388" i="3" s="1"/>
  <c r="R388" i="3" s="1"/>
  <c r="S388" i="3" s="1"/>
  <c r="AD388" i="3"/>
  <c r="AC388" i="3"/>
  <c r="T388" i="3" l="1"/>
  <c r="E388" i="3" s="1"/>
  <c r="H388" i="3" s="1"/>
  <c r="K388" i="3" l="1"/>
  <c r="AE388" i="3" s="1"/>
  <c r="D388" i="3"/>
  <c r="AG388" i="3"/>
  <c r="AH388" i="3"/>
  <c r="V388" i="3" l="1"/>
  <c r="A389" i="3"/>
  <c r="B389" i="3" s="1"/>
  <c r="F388" i="3"/>
  <c r="G388" i="3"/>
  <c r="I388" i="3" l="1"/>
  <c r="W388" i="3" s="1"/>
  <c r="J388" i="3"/>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AD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L397" i="3" s="1"/>
  <c r="AD398" i="3"/>
  <c r="AC398" i="3"/>
  <c r="AA398" i="3"/>
  <c r="P398" i="3"/>
  <c r="Q398" i="3" s="1"/>
  <c r="R398" i="3" s="1"/>
  <c r="S398" i="3" s="1"/>
  <c r="Z398" i="3"/>
  <c r="T398" i="3" l="1"/>
  <c r="U397" i="3"/>
  <c r="Y396" i="3"/>
  <c r="E398" i="3" l="1"/>
  <c r="H398" i="3" s="1"/>
  <c r="K398" i="3" s="1"/>
  <c r="AE398" i="3" s="1"/>
  <c r="D398" i="3"/>
  <c r="G398" i="3" s="1"/>
  <c r="AH398" i="3"/>
  <c r="AG398" i="3"/>
  <c r="F398" i="3" l="1"/>
  <c r="V398" i="3"/>
  <c r="A399" i="3"/>
  <c r="B399" i="3" s="1"/>
  <c r="I398" i="3"/>
  <c r="J398" i="3"/>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D407" i="3"/>
  <c r="AA407" i="3"/>
  <c r="L406" i="3" l="1"/>
  <c r="T407" i="3"/>
  <c r="U406" i="3" l="1"/>
  <c r="D407" i="3" s="1"/>
  <c r="AG407" i="3"/>
  <c r="AH407" i="3"/>
  <c r="Y405" i="3"/>
  <c r="G407" i="3" l="1"/>
  <c r="E407" i="3"/>
  <c r="H407" i="3" s="1"/>
  <c r="F407" i="3" l="1"/>
  <c r="I407" i="3"/>
  <c r="J407" i="3"/>
  <c r="M407" i="3"/>
  <c r="N407" i="3" s="1"/>
  <c r="K407" i="3"/>
  <c r="AE407" i="3" s="1"/>
  <c r="V407" i="3" l="1"/>
  <c r="W407" i="3" s="1"/>
  <c r="A408" i="3"/>
  <c r="B408" i="3" s="1"/>
  <c r="L407" i="3"/>
  <c r="U407" i="3" l="1"/>
  <c r="Y406" i="3"/>
  <c r="Z408" i="3"/>
  <c r="AC408" i="3"/>
  <c r="AD408" i="3"/>
  <c r="P408" i="3"/>
  <c r="Q408" i="3" s="1"/>
  <c r="R408" i="3" s="1"/>
  <c r="S408" i="3" s="1"/>
  <c r="AA408" i="3"/>
  <c r="T408" i="3" l="1"/>
  <c r="AH408" i="3" s="1"/>
  <c r="E408" i="3" l="1"/>
  <c r="H408" i="3" s="1"/>
  <c r="K408" i="3" s="1"/>
  <c r="AE408" i="3" s="1"/>
  <c r="D408" i="3"/>
  <c r="G408" i="3" s="1"/>
  <c r="AG408" i="3"/>
  <c r="F408" i="3" l="1"/>
  <c r="I408" i="3"/>
  <c r="J408" i="3"/>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AD425" i="3"/>
  <c r="U424" i="3" l="1"/>
  <c r="Y423" i="3"/>
  <c r="T425" i="3"/>
  <c r="E425" i="3" l="1"/>
  <c r="H425" i="3" s="1"/>
  <c r="K425" i="3" s="1"/>
  <c r="AE425" i="3" s="1"/>
  <c r="D425" i="3"/>
  <c r="G425" i="3" s="1"/>
  <c r="AH425" i="3"/>
  <c r="AG425" i="3"/>
  <c r="F425" i="3" l="1"/>
  <c r="I425" i="3"/>
  <c r="J425" i="3"/>
  <c r="M425" i="3"/>
  <c r="N425" i="3" s="1"/>
  <c r="V425" i="3"/>
  <c r="A426" i="3"/>
  <c r="B426" i="3" s="1"/>
  <c r="L425" i="3" l="1"/>
  <c r="W425" i="3"/>
  <c r="P426" i="3"/>
  <c r="Q426" i="3" s="1"/>
  <c r="R426" i="3" s="1"/>
  <c r="S426" i="3" s="1"/>
  <c r="AA426" i="3"/>
  <c r="AD426" i="3"/>
  <c r="Z426" i="3"/>
  <c r="AC426" i="3"/>
  <c r="U425" i="3" l="1"/>
  <c r="Y424" i="3"/>
  <c r="T426" i="3"/>
  <c r="AH426" i="3" s="1"/>
  <c r="E426" i="3" l="1"/>
  <c r="H426" i="3" s="1"/>
  <c r="D426" i="3"/>
  <c r="AG426" i="3"/>
  <c r="K426" i="3" l="1"/>
  <c r="AE426" i="3" s="1"/>
  <c r="F426" i="3"/>
  <c r="G426" i="3"/>
  <c r="V426" i="3" l="1"/>
  <c r="A427" i="3"/>
  <c r="B427" i="3" s="1"/>
  <c r="I426" i="3"/>
  <c r="J426" i="3"/>
  <c r="M426" i="3"/>
  <c r="N426" i="3" s="1"/>
  <c r="W426" i="3" l="1"/>
  <c r="L426" i="3"/>
  <c r="P427" i="3"/>
  <c r="Q427" i="3" s="1"/>
  <c r="R427" i="3" s="1"/>
  <c r="S427" i="3" s="1"/>
  <c r="AC427" i="3"/>
  <c r="AD427" i="3"/>
  <c r="Z427" i="3"/>
  <c r="AA427" i="3"/>
  <c r="U426" i="3" l="1"/>
  <c r="Y425" i="3"/>
  <c r="T427" i="3"/>
  <c r="AG427" i="3" s="1"/>
  <c r="D427" i="3" l="1"/>
  <c r="G427" i="3" s="1"/>
  <c r="E427" i="3"/>
  <c r="H427" i="3" s="1"/>
  <c r="K427" i="3" s="1"/>
  <c r="AE427" i="3" s="1"/>
  <c r="AH427" i="3"/>
  <c r="F427" i="3" l="1"/>
  <c r="I427" i="3"/>
  <c r="J427" i="3"/>
  <c r="M427" i="3"/>
  <c r="N427" i="3" s="1"/>
  <c r="V427" i="3"/>
  <c r="A428" i="3"/>
  <c r="B428" i="3" s="1"/>
  <c r="W427" i="3" l="1"/>
  <c r="L427" i="3"/>
  <c r="P428" i="3"/>
  <c r="Q428" i="3" s="1"/>
  <c r="R428" i="3" s="1"/>
  <c r="S428" i="3" s="1"/>
  <c r="AC428" i="3"/>
  <c r="Z428" i="3"/>
  <c r="AA428" i="3"/>
  <c r="AD428" i="3"/>
  <c r="U427" i="3" l="1"/>
  <c r="Y426" i="3"/>
  <c r="T428" i="3"/>
  <c r="AG428" i="3" s="1"/>
  <c r="E428" i="3" l="1"/>
  <c r="H428" i="3" s="1"/>
  <c r="AH428" i="3"/>
  <c r="D428" i="3"/>
  <c r="K428" i="3" l="1"/>
  <c r="AE428" i="3" s="1"/>
  <c r="F428" i="3"/>
  <c r="G428" i="3"/>
  <c r="I428" i="3" l="1"/>
  <c r="J428" i="3"/>
  <c r="M428" i="3"/>
  <c r="N428" i="3" s="1"/>
  <c r="V428" i="3"/>
  <c r="A429" i="3"/>
  <c r="B429" i="3" s="1"/>
  <c r="W428" i="3" l="1"/>
  <c r="AD429" i="3"/>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M429" i="3"/>
  <c r="N429" i="3" s="1"/>
  <c r="V429" i="3"/>
  <c r="A430" i="3"/>
  <c r="B430" i="3" s="1"/>
  <c r="L429" i="3" l="1"/>
  <c r="W429" i="3"/>
  <c r="AA430" i="3"/>
  <c r="Z430" i="3"/>
  <c r="P430" i="3"/>
  <c r="Q430" i="3" s="1"/>
  <c r="R430" i="3" s="1"/>
  <c r="S430" i="3" s="1"/>
  <c r="AC430" i="3"/>
  <c r="AD430" i="3"/>
  <c r="U429" i="3" l="1"/>
  <c r="Y428" i="3"/>
  <c r="T430" i="3"/>
  <c r="D430" i="3" l="1"/>
  <c r="G430" i="3" s="1"/>
  <c r="AH430" i="3"/>
  <c r="E430" i="3"/>
  <c r="H430" i="3" s="1"/>
  <c r="AG430" i="3"/>
  <c r="F430" i="3" l="1"/>
  <c r="I430" i="3"/>
  <c r="J430" i="3"/>
  <c r="M430" i="3"/>
  <c r="N430" i="3" s="1"/>
  <c r="K430" i="3"/>
  <c r="AE430" i="3" s="1"/>
  <c r="V430" i="3" l="1"/>
  <c r="W430" i="3" s="1"/>
  <c r="A431" i="3"/>
  <c r="B431" i="3" s="1"/>
  <c r="L430" i="3"/>
  <c r="U430" i="3" l="1"/>
  <c r="Y429" i="3"/>
  <c r="AC431" i="3"/>
  <c r="Z431" i="3"/>
  <c r="P431" i="3"/>
  <c r="Q431" i="3" s="1"/>
  <c r="R431" i="3" s="1"/>
  <c r="S431" i="3" s="1"/>
  <c r="AA431" i="3"/>
  <c r="AD431" i="3"/>
  <c r="T431" i="3" l="1"/>
  <c r="AH431" i="3" s="1"/>
  <c r="E431" i="3" l="1"/>
  <c r="H431" i="3" s="1"/>
  <c r="AG431" i="3"/>
  <c r="D431" i="3"/>
  <c r="K431" i="3" l="1"/>
  <c r="AE431" i="3" s="1"/>
  <c r="F431" i="3"/>
  <c r="G431" i="3"/>
  <c r="V431" i="3" l="1"/>
  <c r="A432" i="3"/>
  <c r="B432" i="3" s="1"/>
  <c r="I431" i="3"/>
  <c r="J431" i="3"/>
  <c r="M431" i="3"/>
  <c r="N431" i="3" s="1"/>
  <c r="W431" i="3" l="1"/>
  <c r="L431" i="3"/>
  <c r="AA432" i="3"/>
  <c r="P432" i="3"/>
  <c r="Q432" i="3" s="1"/>
  <c r="R432" i="3" s="1"/>
  <c r="S432" i="3" s="1"/>
  <c r="AC432" i="3"/>
  <c r="Z432" i="3"/>
  <c r="AD432" i="3"/>
  <c r="T432" i="3" l="1"/>
  <c r="AH432" i="3" s="1"/>
  <c r="U431" i="3"/>
  <c r="Y430" i="3"/>
  <c r="AG432" i="3" l="1"/>
  <c r="E432" i="3"/>
  <c r="H432" i="3" s="1"/>
  <c r="D432" i="3"/>
  <c r="K432" i="3" l="1"/>
  <c r="AE432" i="3" s="1"/>
  <c r="F432" i="3"/>
  <c r="G432" i="3"/>
  <c r="I432" i="3" l="1"/>
  <c r="J432" i="3"/>
  <c r="M432" i="3"/>
  <c r="N432" i="3" s="1"/>
  <c r="V432" i="3"/>
  <c r="A433" i="3"/>
  <c r="B433" i="3" s="1"/>
  <c r="W432" i="3" l="1"/>
  <c r="L432" i="3"/>
  <c r="P433" i="3"/>
  <c r="Q433" i="3" s="1"/>
  <c r="R433" i="3" s="1"/>
  <c r="S433" i="3" s="1"/>
  <c r="AC433" i="3"/>
  <c r="Z433" i="3"/>
  <c r="AA433" i="3"/>
  <c r="AD433" i="3"/>
  <c r="U432" i="3" l="1"/>
  <c r="Y431" i="3"/>
  <c r="T433" i="3"/>
  <c r="E433" i="3" l="1"/>
  <c r="H433" i="3" s="1"/>
  <c r="K433" i="3" s="1"/>
  <c r="AE433" i="3" s="1"/>
  <c r="D433" i="3"/>
  <c r="AG433" i="3"/>
  <c r="AH433" i="3"/>
  <c r="F433" i="3" l="1"/>
  <c r="G433" i="3"/>
  <c r="M433" i="3" s="1"/>
  <c r="N433" i="3" s="1"/>
  <c r="V433" i="3"/>
  <c r="A434" i="3"/>
  <c r="B434" i="3" s="1"/>
  <c r="I433" i="3" l="1"/>
  <c r="W433" i="3" s="1"/>
  <c r="J433" i="3"/>
  <c r="L433" i="3" s="1"/>
  <c r="P434" i="3"/>
  <c r="Q434" i="3" s="1"/>
  <c r="R434" i="3" s="1"/>
  <c r="S434" i="3" s="1"/>
  <c r="Z434" i="3"/>
  <c r="AA434" i="3"/>
  <c r="AC434" i="3"/>
  <c r="U433" i="3" l="1"/>
  <c r="Y432" i="3"/>
  <c r="T434" i="3"/>
  <c r="AH434" i="3" s="1"/>
  <c r="E434" i="3" l="1"/>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AD437" i="3"/>
  <c r="Z437" i="3"/>
  <c r="U436" i="3" l="1"/>
  <c r="Y435" i="3"/>
  <c r="T437" i="3"/>
  <c r="AH437" i="3" s="1"/>
  <c r="D437" i="3" l="1"/>
  <c r="G437" i="3" s="1"/>
  <c r="E437" i="3"/>
  <c r="H437" i="3" s="1"/>
  <c r="K437" i="3" s="1"/>
  <c r="AE437" i="3" s="1"/>
  <c r="AG437" i="3"/>
  <c r="F437" i="3" l="1"/>
  <c r="I437" i="3"/>
  <c r="J437" i="3"/>
  <c r="M437" i="3"/>
  <c r="N437" i="3" s="1"/>
  <c r="V437" i="3"/>
  <c r="A438" i="3"/>
  <c r="B438" i="3" s="1"/>
  <c r="W437" i="3" l="1"/>
  <c r="L437" i="3"/>
  <c r="Z438" i="3"/>
  <c r="P438" i="3"/>
  <c r="Q438" i="3" s="1"/>
  <c r="R438" i="3" s="1"/>
  <c r="S438" i="3" s="1"/>
  <c r="AC438" i="3"/>
  <c r="AD438" i="3"/>
  <c r="AA438" i="3"/>
  <c r="U437" i="3" l="1"/>
  <c r="Y436" i="3"/>
  <c r="T438" i="3"/>
  <c r="E438" i="3" l="1"/>
  <c r="H438" i="3" s="1"/>
  <c r="K438" i="3" s="1"/>
  <c r="AE438" i="3" s="1"/>
  <c r="D438" i="3"/>
  <c r="AH438" i="3"/>
  <c r="AG438" i="3"/>
  <c r="V438" i="3" l="1"/>
  <c r="A439" i="3"/>
  <c r="B439" i="3" s="1"/>
  <c r="F438" i="3"/>
  <c r="G438" i="3"/>
  <c r="I438" i="3" l="1"/>
  <c r="W438" i="3" s="1"/>
  <c r="J438" i="3"/>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AD447" i="3"/>
  <c r="U446" i="3"/>
  <c r="Y445" i="3"/>
  <c r="T447" i="3" l="1"/>
  <c r="AG447" i="3" s="1"/>
  <c r="D447" i="3" l="1"/>
  <c r="G447" i="3" s="1"/>
  <c r="AH447" i="3"/>
  <c r="E447" i="3"/>
  <c r="H447" i="3" s="1"/>
  <c r="K447" i="3" s="1"/>
  <c r="AE447" i="3" s="1"/>
  <c r="F447" i="3" l="1"/>
  <c r="I447" i="3"/>
  <c r="J447" i="3"/>
  <c r="M447" i="3"/>
  <c r="N447" i="3" s="1"/>
  <c r="V447" i="3"/>
  <c r="A448" i="3"/>
  <c r="B448" i="3" s="1"/>
  <c r="W447" i="3" l="1"/>
  <c r="L447" i="3"/>
  <c r="AD448" i="3"/>
  <c r="Z448" i="3"/>
  <c r="AA448" i="3"/>
  <c r="P448" i="3"/>
  <c r="Q448" i="3" s="1"/>
  <c r="R448" i="3" s="1"/>
  <c r="S448" i="3" s="1"/>
  <c r="AC448" i="3"/>
  <c r="T448" i="3" l="1"/>
  <c r="AG448" i="3" s="1"/>
  <c r="U447" i="3"/>
  <c r="Y446" i="3"/>
  <c r="D448" i="3" l="1"/>
  <c r="G448" i="3" s="1"/>
  <c r="E448" i="3"/>
  <c r="H448" i="3" s="1"/>
  <c r="AH448" i="3"/>
  <c r="F448" i="3" l="1"/>
  <c r="I448" i="3"/>
  <c r="J448" i="3"/>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D457" i="3"/>
  <c r="AA457" i="3"/>
  <c r="U456" i="3"/>
  <c r="Y455" i="3"/>
  <c r="T457" i="3" l="1"/>
  <c r="D457" i="3" l="1"/>
  <c r="AH457" i="3"/>
  <c r="E457" i="3"/>
  <c r="H457" i="3" s="1"/>
  <c r="AG457" i="3"/>
  <c r="F457" i="3" l="1"/>
  <c r="G457" i="3"/>
  <c r="K457" i="3"/>
  <c r="AE457" i="3" s="1"/>
  <c r="I457" i="3" l="1"/>
  <c r="J457" i="3"/>
  <c r="M457" i="3"/>
  <c r="N457" i="3" s="1"/>
  <c r="V457" i="3"/>
  <c r="A458" i="3"/>
  <c r="B458" i="3" s="1"/>
  <c r="L457" i="3" l="1"/>
  <c r="W457" i="3"/>
  <c r="P458" i="3"/>
  <c r="Q458" i="3" s="1"/>
  <c r="R458" i="3" s="1"/>
  <c r="S458" i="3" s="1"/>
  <c r="AC458" i="3"/>
  <c r="Z458" i="3"/>
  <c r="AD458" i="3"/>
  <c r="AA458" i="3"/>
  <c r="U457" i="3" l="1"/>
  <c r="Y456" i="3"/>
  <c r="T458" i="3"/>
  <c r="AH458" i="3" s="1"/>
  <c r="AG458" i="3" l="1"/>
  <c r="E458" i="3"/>
  <c r="H458" i="3" s="1"/>
  <c r="D458" i="3"/>
  <c r="K458" i="3" l="1"/>
  <c r="AE458" i="3" s="1"/>
  <c r="F458" i="3"/>
  <c r="G458" i="3"/>
  <c r="V458" i="3" l="1"/>
  <c r="A459" i="3"/>
  <c r="B459" i="3" s="1"/>
  <c r="I458" i="3"/>
  <c r="J458" i="3"/>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AD465" i="3"/>
  <c r="T465" i="3" l="1"/>
  <c r="AH465" i="3" s="1"/>
  <c r="U464" i="3"/>
  <c r="Y463" i="3"/>
  <c r="D465" i="3" l="1"/>
  <c r="G465" i="3" s="1"/>
  <c r="E465" i="3"/>
  <c r="H465" i="3" s="1"/>
  <c r="AG465" i="3"/>
  <c r="F465" i="3" l="1"/>
  <c r="I465" i="3"/>
  <c r="J465" i="3"/>
  <c r="M465" i="3"/>
  <c r="N465" i="3" s="1"/>
  <c r="K465" i="3"/>
  <c r="AE465" i="3" s="1"/>
  <c r="V465" i="3" l="1"/>
  <c r="W465" i="3" s="1"/>
  <c r="A466" i="3"/>
  <c r="B466" i="3" s="1"/>
  <c r="L465" i="3"/>
  <c r="U465" i="3" l="1"/>
  <c r="Y464" i="3"/>
  <c r="AA466" i="3"/>
  <c r="AD466" i="3"/>
  <c r="AC466" i="3"/>
  <c r="Z466" i="3"/>
  <c r="P466" i="3"/>
  <c r="Q466" i="3" s="1"/>
  <c r="R466" i="3" s="1"/>
  <c r="S466" i="3" s="1"/>
  <c r="T466" i="3" l="1"/>
  <c r="AH466" i="3" s="1"/>
  <c r="AG466" i="3" l="1"/>
  <c r="E466" i="3"/>
  <c r="H466" i="3" s="1"/>
  <c r="K466" i="3" s="1"/>
  <c r="AE466" i="3" s="1"/>
  <c r="D466" i="3"/>
  <c r="G466" i="3" s="1"/>
  <c r="F466" i="3" l="1"/>
  <c r="I466" i="3"/>
  <c r="J466" i="3"/>
  <c r="M466" i="3"/>
  <c r="N466" i="3" s="1"/>
  <c r="V466" i="3"/>
  <c r="A467" i="3"/>
  <c r="B467" i="3" s="1"/>
  <c r="W466" i="3" l="1"/>
  <c r="L466" i="3"/>
  <c r="P467" i="3"/>
  <c r="Q467" i="3" s="1"/>
  <c r="R467" i="3" s="1"/>
  <c r="S467" i="3" s="1"/>
  <c r="AA467" i="3"/>
  <c r="Z467" i="3"/>
  <c r="AC467" i="3"/>
  <c r="AD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AD468" i="3"/>
  <c r="I467" i="3"/>
  <c r="W467" i="3" s="1"/>
  <c r="J467" i="3"/>
  <c r="M467" i="3"/>
  <c r="N467" i="3" s="1"/>
  <c r="L467" i="3" l="1"/>
  <c r="T468" i="3"/>
  <c r="U467" i="3" l="1"/>
  <c r="D468" i="3" s="1"/>
  <c r="AH468" i="3"/>
  <c r="AG468" i="3"/>
  <c r="Y466" i="3"/>
  <c r="E468" i="3" l="1"/>
  <c r="H468" i="3" s="1"/>
  <c r="K468" i="3" s="1"/>
  <c r="AE468" i="3" s="1"/>
  <c r="G468" i="3"/>
  <c r="F468" i="3" l="1"/>
  <c r="I468" i="3"/>
  <c r="J468" i="3"/>
  <c r="M468" i="3"/>
  <c r="N468" i="3" s="1"/>
  <c r="V468" i="3"/>
  <c r="A469" i="3"/>
  <c r="B469" i="3" s="1"/>
  <c r="W468" i="3" l="1"/>
  <c r="L468" i="3"/>
  <c r="AD469" i="3"/>
  <c r="AA469" i="3"/>
  <c r="P469" i="3"/>
  <c r="Q469" i="3" s="1"/>
  <c r="R469" i="3" s="1"/>
  <c r="S469" i="3" s="1"/>
  <c r="Z469" i="3"/>
  <c r="AC469" i="3"/>
  <c r="U468" i="3" l="1"/>
  <c r="Y467" i="3"/>
  <c r="T469" i="3"/>
  <c r="AG469" i="3" s="1"/>
  <c r="D469" i="3" l="1"/>
  <c r="G469" i="3" s="1"/>
  <c r="AH469" i="3"/>
  <c r="E469" i="3"/>
  <c r="H469" i="3" s="1"/>
  <c r="K469" i="3" s="1"/>
  <c r="AE469" i="3" s="1"/>
  <c r="F469" i="3" l="1"/>
  <c r="I469" i="3"/>
  <c r="J469" i="3"/>
  <c r="M469" i="3"/>
  <c r="N469" i="3" s="1"/>
  <c r="V469" i="3"/>
  <c r="A470" i="3"/>
  <c r="B470" i="3" s="1"/>
  <c r="W469" i="3" l="1"/>
  <c r="L469" i="3"/>
  <c r="AC470" i="3"/>
  <c r="P470" i="3"/>
  <c r="Q470" i="3" s="1"/>
  <c r="R470" i="3" s="1"/>
  <c r="S470" i="3" s="1"/>
  <c r="AA470" i="3"/>
  <c r="Z470" i="3"/>
  <c r="AD470" i="3"/>
  <c r="U469" i="3" l="1"/>
  <c r="Y468" i="3"/>
  <c r="T470" i="3"/>
  <c r="D470" i="3" l="1"/>
  <c r="G470" i="3" s="1"/>
  <c r="AH470" i="3"/>
  <c r="AG470" i="3"/>
  <c r="E470" i="3"/>
  <c r="H470" i="3" s="1"/>
  <c r="K470" i="3" l="1"/>
  <c r="AE470" i="3" s="1"/>
  <c r="F470" i="3"/>
  <c r="I470" i="3"/>
  <c r="J470" i="3"/>
  <c r="M470" i="3"/>
  <c r="N470" i="3" s="1"/>
  <c r="V470" i="3" l="1"/>
  <c r="W470" i="3" s="1"/>
  <c r="A471" i="3"/>
  <c r="B471" i="3" s="1"/>
  <c r="L470" i="3"/>
  <c r="U470" i="3" l="1"/>
  <c r="Y469" i="3"/>
  <c r="Z471" i="3"/>
  <c r="AA471" i="3"/>
  <c r="AD471" i="3"/>
  <c r="AC471" i="3"/>
  <c r="P471" i="3"/>
  <c r="Q471" i="3" s="1"/>
  <c r="R471" i="3" s="1"/>
  <c r="S471" i="3" s="1"/>
  <c r="T471" i="3" l="1"/>
  <c r="AH471" i="3" s="1"/>
  <c r="AG471" i="3" l="1"/>
  <c r="E471" i="3"/>
  <c r="H471" i="3" s="1"/>
  <c r="D471" i="3"/>
  <c r="F471" i="3" l="1"/>
  <c r="G471" i="3"/>
  <c r="K471" i="3"/>
  <c r="AE471" i="3" s="1"/>
  <c r="V471" i="3" l="1"/>
  <c r="A472" i="3"/>
  <c r="B472" i="3" s="1"/>
  <c r="I471" i="3"/>
  <c r="J471" i="3"/>
  <c r="M471" i="3"/>
  <c r="N471" i="3" s="1"/>
  <c r="W471" i="3" l="1"/>
  <c r="L471" i="3"/>
  <c r="Z472" i="3"/>
  <c r="AA472" i="3"/>
  <c r="P472" i="3"/>
  <c r="Q472" i="3" s="1"/>
  <c r="R472" i="3" s="1"/>
  <c r="S472" i="3" s="1"/>
  <c r="AD472" i="3"/>
  <c r="AC472" i="3"/>
  <c r="U471" i="3" l="1"/>
  <c r="Y470" i="3"/>
  <c r="T472" i="3"/>
  <c r="E472" i="3" l="1"/>
  <c r="H472" i="3" s="1"/>
  <c r="K472" i="3" s="1"/>
  <c r="AE472" i="3" s="1"/>
  <c r="AG472" i="3"/>
  <c r="AH472" i="3"/>
  <c r="D472" i="3"/>
  <c r="V472" i="3" l="1"/>
  <c r="A473" i="3"/>
  <c r="B473" i="3" s="1"/>
  <c r="F472" i="3"/>
  <c r="G472" i="3"/>
  <c r="I472" i="3" l="1"/>
  <c r="W472" i="3" s="1"/>
  <c r="J472" i="3"/>
  <c r="M472" i="3"/>
  <c r="N472" i="3" s="1"/>
  <c r="AC473" i="3"/>
  <c r="P473" i="3"/>
  <c r="Q473" i="3" s="1"/>
  <c r="R473" i="3" s="1"/>
  <c r="S473" i="3" s="1"/>
  <c r="AD473" i="3"/>
  <c r="Z473" i="3"/>
  <c r="AA473" i="3"/>
  <c r="L472" i="3" l="1"/>
  <c r="T473" i="3"/>
  <c r="U472" i="3" l="1"/>
  <c r="D473" i="3" s="1"/>
  <c r="AH473" i="3"/>
  <c r="AG473" i="3"/>
  <c r="Y471" i="3"/>
  <c r="G473" i="3" l="1"/>
  <c r="E473" i="3"/>
  <c r="H473" i="3" s="1"/>
  <c r="F473" i="3" l="1"/>
  <c r="I473" i="3"/>
  <c r="J473" i="3"/>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D475" i="3"/>
  <c r="AA475" i="3"/>
  <c r="T475" i="3" l="1"/>
  <c r="AG475" i="3" s="1"/>
  <c r="AH475" i="3" l="1"/>
  <c r="E475" i="3"/>
  <c r="H475" i="3" s="1"/>
  <c r="K475" i="3" s="1"/>
  <c r="AE475" i="3" s="1"/>
  <c r="D475" i="3"/>
  <c r="F475" i="3" l="1"/>
  <c r="G475" i="3"/>
  <c r="M475" i="3" s="1"/>
  <c r="N475" i="3" s="1"/>
  <c r="V475" i="3"/>
  <c r="A476" i="3"/>
  <c r="B476" i="3" s="1"/>
  <c r="I475" i="3" l="1"/>
  <c r="W475" i="3" s="1"/>
  <c r="J475" i="3"/>
  <c r="L475" i="3" s="1"/>
  <c r="P476" i="3"/>
  <c r="Q476" i="3" s="1"/>
  <c r="R476" i="3" s="1"/>
  <c r="S476" i="3" s="1"/>
  <c r="AA476" i="3"/>
  <c r="AD476" i="3"/>
  <c r="Z476" i="3"/>
  <c r="AC476" i="3"/>
  <c r="U475" i="3" l="1"/>
  <c r="Y474" i="3"/>
  <c r="T476" i="3"/>
  <c r="AG476" i="3" s="1"/>
  <c r="D476" i="3" l="1"/>
  <c r="G476" i="3" s="1"/>
  <c r="E476" i="3"/>
  <c r="H476" i="3" s="1"/>
  <c r="K476" i="3" s="1"/>
  <c r="AE476" i="3" s="1"/>
  <c r="AH476" i="3"/>
  <c r="F476" i="3" l="1"/>
  <c r="V476" i="3"/>
  <c r="A477" i="3"/>
  <c r="B477" i="3" s="1"/>
  <c r="I476" i="3"/>
  <c r="J476" i="3"/>
  <c r="M476" i="3"/>
  <c r="N476" i="3" s="1"/>
  <c r="W476" i="3" l="1"/>
  <c r="L476" i="3"/>
  <c r="AA477" i="3"/>
  <c r="P477" i="3"/>
  <c r="Q477" i="3" s="1"/>
  <c r="R477" i="3" s="1"/>
  <c r="S477" i="3" s="1"/>
  <c r="AD477" i="3"/>
  <c r="AC477" i="3"/>
  <c r="Z477" i="3"/>
  <c r="U476" i="3" l="1"/>
  <c r="Y475" i="3"/>
  <c r="T477" i="3"/>
  <c r="D477" i="3" l="1"/>
  <c r="G477" i="3" s="1"/>
  <c r="AG477" i="3"/>
  <c r="E477" i="3"/>
  <c r="H477" i="3" s="1"/>
  <c r="K477" i="3" s="1"/>
  <c r="AE477" i="3" s="1"/>
  <c r="AH477" i="3"/>
  <c r="F477" i="3" l="1"/>
  <c r="V477" i="3"/>
  <c r="A478" i="3"/>
  <c r="B478" i="3" s="1"/>
  <c r="I477" i="3"/>
  <c r="J477" i="3"/>
  <c r="M477" i="3"/>
  <c r="N477" i="3" s="1"/>
  <c r="W477" i="3" l="1"/>
  <c r="L477" i="3"/>
  <c r="AA478" i="3"/>
  <c r="AD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AD482" i="3"/>
  <c r="Z482" i="3"/>
  <c r="T482" i="3" l="1"/>
  <c r="D482" i="3" s="1"/>
  <c r="AG482" i="3" l="1"/>
  <c r="G482" i="3"/>
  <c r="AH482" i="3"/>
  <c r="E482" i="3"/>
  <c r="H482" i="3" s="1"/>
  <c r="F482" i="3" l="1"/>
  <c r="I482" i="3"/>
  <c r="J482" i="3"/>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AD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M487" i="3"/>
  <c r="N487" i="3" s="1"/>
  <c r="AA488" i="3"/>
  <c r="AD488" i="3"/>
  <c r="Z488" i="3"/>
  <c r="P488" i="3"/>
  <c r="Q488" i="3" s="1"/>
  <c r="R488" i="3" s="1"/>
  <c r="S488" i="3" s="1"/>
  <c r="AC488" i="3"/>
  <c r="L487" i="3" l="1"/>
  <c r="T488" i="3"/>
  <c r="U487" i="3" l="1"/>
  <c r="D488" i="3" s="1"/>
  <c r="AG488" i="3"/>
  <c r="AH488" i="3"/>
  <c r="Y486" i="3"/>
  <c r="E488" i="3" l="1"/>
  <c r="H488" i="3" s="1"/>
  <c r="K488" i="3" s="1"/>
  <c r="AE488" i="3" s="1"/>
  <c r="G488" i="3"/>
  <c r="F488" i="3" l="1"/>
  <c r="I488" i="3"/>
  <c r="J488" i="3"/>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AD492" i="3"/>
  <c r="T492" i="3" l="1"/>
  <c r="U491" i="3"/>
  <c r="Y490" i="3"/>
  <c r="D492" i="3" l="1"/>
  <c r="G492" i="3" s="1"/>
  <c r="AH492" i="3"/>
  <c r="AG492" i="3"/>
  <c r="E492" i="3"/>
  <c r="H492" i="3" s="1"/>
  <c r="F492" i="3" l="1"/>
  <c r="I492" i="3"/>
  <c r="J492" i="3"/>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D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M495" i="3"/>
  <c r="N495" i="3" s="1"/>
  <c r="W495" i="3" l="1"/>
  <c r="L495" i="3"/>
  <c r="AD496"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M496" i="3"/>
  <c r="N496" i="3" s="1"/>
  <c r="W496" i="3" l="1"/>
  <c r="L496" i="3"/>
  <c r="P497" i="3"/>
  <c r="Q497" i="3" s="1"/>
  <c r="R497" i="3" s="1"/>
  <c r="S497" i="3" s="1"/>
  <c r="AC497" i="3"/>
  <c r="AA497" i="3"/>
  <c r="AD497" i="3"/>
  <c r="Z497" i="3"/>
  <c r="U496" i="3" l="1"/>
  <c r="Y495" i="3"/>
  <c r="T497" i="3"/>
  <c r="AG497" i="3" s="1"/>
  <c r="E497" i="3" l="1"/>
  <c r="H497" i="3" s="1"/>
  <c r="D497" i="3"/>
  <c r="AH497" i="3"/>
  <c r="F497" i="3" l="1"/>
  <c r="G497" i="3"/>
  <c r="K497" i="3"/>
  <c r="AE497" i="3" s="1"/>
  <c r="I497" i="3" l="1"/>
  <c r="J497" i="3"/>
  <c r="M497" i="3"/>
  <c r="N497" i="3" s="1"/>
  <c r="V497" i="3"/>
  <c r="A498" i="3"/>
  <c r="B498" i="3" s="1"/>
  <c r="W497" i="3" l="1"/>
  <c r="L497" i="3"/>
  <c r="Z498" i="3"/>
  <c r="AC498" i="3"/>
  <c r="AD498" i="3"/>
  <c r="AA498" i="3"/>
  <c r="P498" i="3"/>
  <c r="Q498" i="3" s="1"/>
  <c r="R498" i="3" s="1"/>
  <c r="S498" i="3" s="1"/>
  <c r="U497" i="3" l="1"/>
  <c r="Y496" i="3"/>
  <c r="T498" i="3"/>
  <c r="AH498" i="3" s="1"/>
  <c r="AG498" i="3" l="1"/>
  <c r="D498" i="3"/>
  <c r="E498" i="3"/>
  <c r="H498" i="3" s="1"/>
  <c r="F498" i="3" l="1"/>
  <c r="G498" i="3"/>
  <c r="K498" i="3"/>
  <c r="AE498" i="3" s="1"/>
  <c r="I498" i="3" l="1"/>
  <c r="J498" i="3"/>
  <c r="M498" i="3"/>
  <c r="N498" i="3" s="1"/>
  <c r="V498" i="3"/>
  <c r="A499" i="3"/>
  <c r="B499" i="3" s="1"/>
  <c r="W498" i="3" l="1"/>
  <c r="L498" i="3"/>
  <c r="AC499" i="3"/>
  <c r="P499" i="3"/>
  <c r="Q499" i="3" s="1"/>
  <c r="R499" i="3" s="1"/>
  <c r="S499" i="3" s="1"/>
  <c r="AD499" i="3"/>
  <c r="AA499" i="3"/>
  <c r="Z499" i="3"/>
  <c r="T499" i="3" l="1"/>
  <c r="U498" i="3"/>
  <c r="Y497" i="3"/>
  <c r="D499" i="3" l="1"/>
  <c r="G499" i="3" s="1"/>
  <c r="AH499" i="3"/>
  <c r="E499" i="3"/>
  <c r="H499" i="3" s="1"/>
  <c r="AG499" i="3"/>
  <c r="F499" i="3" l="1"/>
  <c r="I499" i="3"/>
  <c r="J499" i="3"/>
  <c r="M499" i="3"/>
  <c r="N499" i="3" s="1"/>
  <c r="K499" i="3"/>
  <c r="AE499" i="3" s="1"/>
  <c r="V499" i="3" l="1"/>
  <c r="W499" i="3" s="1"/>
  <c r="A500" i="3"/>
  <c r="B500" i="3" s="1"/>
  <c r="L499" i="3"/>
  <c r="U499" i="3" l="1"/>
  <c r="Y498" i="3"/>
  <c r="AD500" i="3"/>
  <c r="AA500" i="3"/>
  <c r="AC500" i="3"/>
  <c r="P500" i="3"/>
  <c r="Q500" i="3" s="1"/>
  <c r="R500" i="3" s="1"/>
  <c r="S500" i="3" s="1"/>
  <c r="Z500" i="3"/>
  <c r="T500" i="3" l="1"/>
  <c r="AH500" i="3" s="1"/>
  <c r="D500" i="3" l="1"/>
  <c r="AG500" i="3"/>
  <c r="E500" i="3"/>
  <c r="H500" i="3" s="1"/>
  <c r="F500" i="3" l="1"/>
  <c r="G500" i="3"/>
  <c r="K500" i="3"/>
  <c r="AE500" i="3" s="1"/>
  <c r="I500" i="3" l="1"/>
  <c r="J500" i="3"/>
  <c r="M500" i="3"/>
  <c r="N500" i="3" s="1"/>
  <c r="V500" i="3"/>
  <c r="A501" i="3"/>
  <c r="B501" i="3" s="1"/>
  <c r="W500" i="3" l="1"/>
  <c r="L500" i="3"/>
  <c r="P501" i="3"/>
  <c r="Q501" i="3" s="1"/>
  <c r="R501" i="3" s="1"/>
  <c r="S501" i="3" s="1"/>
  <c r="AC501" i="3"/>
  <c r="AD501" i="3"/>
  <c r="Z501" i="3"/>
  <c r="AA501" i="3"/>
  <c r="U500" i="3" l="1"/>
  <c r="Y499" i="3"/>
  <c r="T501" i="3"/>
  <c r="D501" i="3" l="1"/>
  <c r="G501" i="3" s="1"/>
  <c r="E501" i="3"/>
  <c r="H501" i="3" s="1"/>
  <c r="K501" i="3" s="1"/>
  <c r="AE501" i="3" s="1"/>
  <c r="AG501" i="3"/>
  <c r="AH501" i="3"/>
  <c r="F501" i="3" l="1"/>
  <c r="I501" i="3"/>
  <c r="J501" i="3"/>
  <c r="M501" i="3"/>
  <c r="N501" i="3" s="1"/>
  <c r="V501" i="3"/>
  <c r="A502" i="3"/>
  <c r="B502" i="3" s="1"/>
  <c r="L501" i="3" l="1"/>
  <c r="W501" i="3"/>
  <c r="Z502" i="3"/>
  <c r="AA502" i="3"/>
  <c r="AC502" i="3"/>
  <c r="AD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M502" i="3"/>
  <c r="N502" i="3" s="1"/>
  <c r="AA503" i="3"/>
  <c r="P503" i="3"/>
  <c r="Q503" i="3" s="1"/>
  <c r="R503" i="3" s="1"/>
  <c r="S503" i="3" s="1"/>
  <c r="AD503" i="3"/>
  <c r="AC503" i="3"/>
  <c r="Z503" i="3"/>
  <c r="T503" i="3" l="1"/>
  <c r="L502" i="3"/>
  <c r="AG503" i="3" l="1"/>
  <c r="AH503" i="3"/>
  <c r="U502" i="3"/>
  <c r="E503" i="3" s="1"/>
  <c r="H503" i="3" s="1"/>
  <c r="Y501" i="3"/>
  <c r="D503" i="3" l="1"/>
  <c r="G503" i="3" s="1"/>
  <c r="K503" i="3"/>
  <c r="AE503" i="3" s="1"/>
  <c r="F503" i="3" l="1"/>
  <c r="V503" i="3"/>
  <c r="A504" i="3"/>
  <c r="B504" i="3" s="1"/>
  <c r="I503" i="3"/>
  <c r="J503" i="3"/>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D505" i="3"/>
  <c r="AA505" i="3"/>
  <c r="L504" i="3" l="1"/>
  <c r="Y503" i="3" s="1"/>
  <c r="AD504" i="3"/>
  <c r="T505" i="3"/>
  <c r="AH505" i="3" l="1"/>
  <c r="U504" i="3"/>
  <c r="D505" i="3" s="1"/>
  <c r="G505" i="3" s="1"/>
  <c r="AG505" i="3"/>
  <c r="E505" i="3" l="1"/>
  <c r="H505" i="3" s="1"/>
  <c r="K505" i="3" s="1"/>
  <c r="AE505" i="3" s="1"/>
  <c r="J505" i="3"/>
  <c r="I505" i="3" l="1"/>
  <c r="F505" i="3"/>
  <c r="V505" i="3"/>
  <c r="M505" i="3"/>
  <c r="N505" i="3" s="1"/>
  <c r="A506" i="3"/>
  <c r="B506" i="3" s="1"/>
  <c r="P506" i="3" s="1"/>
  <c r="Q506" i="3" s="1"/>
  <c r="R506" i="3" s="1"/>
  <c r="S506" i="3" s="1"/>
  <c r="L505" i="3"/>
  <c r="W505" i="3" l="1"/>
  <c r="AA506" i="3"/>
  <c r="AD506" i="3"/>
  <c r="AC506" i="3"/>
  <c r="Z506" i="3"/>
  <c r="U505" i="3"/>
  <c r="Y504" i="3"/>
  <c r="T506" i="3"/>
  <c r="AG506" i="3" l="1"/>
  <c r="D506" i="3"/>
  <c r="G506" i="3" s="1"/>
  <c r="AH506" i="3"/>
  <c r="E506" i="3"/>
  <c r="H506" i="3" s="1"/>
  <c r="K506" i="3" s="1"/>
  <c r="AE506" i="3" s="1"/>
  <c r="F506" i="3" l="1"/>
  <c r="I506" i="3"/>
  <c r="J506" i="3"/>
  <c r="M506" i="3"/>
  <c r="N506" i="3" s="1"/>
  <c r="V506" i="3"/>
  <c r="A507" i="3"/>
  <c r="B507" i="3" s="1"/>
  <c r="W506" i="3" l="1"/>
  <c r="L506" i="3"/>
  <c r="AD507" i="3"/>
  <c r="AC507" i="3"/>
  <c r="P507" i="3"/>
  <c r="Q507" i="3" s="1"/>
  <c r="R507" i="3" s="1"/>
  <c r="S507" i="3" s="1"/>
  <c r="AA507" i="3"/>
  <c r="Z507" i="3"/>
  <c r="U506" i="3" l="1"/>
  <c r="Y505" i="3"/>
  <c r="T507" i="3"/>
  <c r="AH507" i="3" s="1"/>
  <c r="AG507" i="3" l="1"/>
  <c r="E507" i="3"/>
  <c r="H507" i="3" s="1"/>
  <c r="D507" i="3"/>
  <c r="K507" i="3" l="1"/>
  <c r="AE507" i="3" s="1"/>
  <c r="F507" i="3"/>
  <c r="G507" i="3"/>
  <c r="I507" i="3" l="1"/>
  <c r="J507" i="3"/>
  <c r="M507" i="3"/>
  <c r="N507" i="3" s="1"/>
  <c r="V507" i="3"/>
  <c r="A508" i="3"/>
  <c r="B508" i="3" s="1"/>
  <c r="W507" i="3" l="1"/>
  <c r="L507" i="3"/>
  <c r="P508" i="3"/>
  <c r="Q508" i="3" s="1"/>
  <c r="R508" i="3" s="1"/>
  <c r="S508" i="3" s="1"/>
  <c r="AD508" i="3"/>
  <c r="AA508" i="3"/>
  <c r="Z508" i="3"/>
  <c r="AC508" i="3"/>
  <c r="U507" i="3" l="1"/>
  <c r="Y506" i="3"/>
  <c r="T508" i="3"/>
  <c r="E508" i="3" l="1"/>
  <c r="H508" i="3" s="1"/>
  <c r="K508" i="3" s="1"/>
  <c r="AE508" i="3" s="1"/>
  <c r="AH508" i="3"/>
  <c r="D508" i="3"/>
  <c r="AG508" i="3"/>
  <c r="F508" i="3" l="1"/>
  <c r="G508" i="3"/>
  <c r="V508" i="3"/>
  <c r="A509" i="3"/>
  <c r="B509" i="3" s="1"/>
  <c r="AD509" i="3" l="1"/>
  <c r="AC509" i="3"/>
  <c r="Z509" i="3"/>
  <c r="AA509" i="3"/>
  <c r="P509" i="3"/>
  <c r="Q509" i="3" s="1"/>
  <c r="R509" i="3" s="1"/>
  <c r="S509" i="3" s="1"/>
  <c r="I508" i="3"/>
  <c r="W508" i="3" s="1"/>
  <c r="J508" i="3"/>
  <c r="M508" i="3"/>
  <c r="N508" i="3" s="1"/>
  <c r="L508" i="3" l="1"/>
  <c r="T509" i="3"/>
  <c r="AG509" i="3" l="1"/>
  <c r="AH509" i="3"/>
  <c r="U508" i="3"/>
  <c r="D509" i="3" s="1"/>
  <c r="Y507" i="3"/>
  <c r="G509" i="3" l="1"/>
  <c r="E509" i="3"/>
  <c r="H509" i="3" s="1"/>
  <c r="F509" i="3" l="1"/>
  <c r="I509" i="3"/>
  <c r="J509" i="3"/>
  <c r="M509" i="3"/>
  <c r="N509" i="3" s="1"/>
  <c r="K509" i="3"/>
  <c r="AE509" i="3" s="1"/>
  <c r="V509" i="3" l="1"/>
  <c r="W509" i="3" s="1"/>
  <c r="A510" i="3"/>
  <c r="B510" i="3" s="1"/>
  <c r="L509" i="3"/>
  <c r="U509" i="3" l="1"/>
  <c r="Y508" i="3"/>
  <c r="AC510" i="3"/>
  <c r="Z510" i="3"/>
  <c r="AA510" i="3"/>
  <c r="AD510" i="3"/>
  <c r="P510" i="3"/>
  <c r="Q510" i="3" s="1"/>
  <c r="R510" i="3" s="1"/>
  <c r="S510" i="3" s="1"/>
  <c r="T510" i="3" l="1"/>
  <c r="AH510" i="3" l="1"/>
  <c r="E510" i="3"/>
  <c r="H510" i="3" s="1"/>
  <c r="D510" i="3"/>
  <c r="AG510" i="3"/>
  <c r="F510" i="3" l="1"/>
  <c r="G510" i="3"/>
  <c r="K510" i="3"/>
  <c r="AE510" i="3" s="1"/>
  <c r="V510" i="3" l="1"/>
  <c r="A511" i="3"/>
  <c r="B511" i="3" s="1"/>
  <c r="I510" i="3"/>
  <c r="J510" i="3"/>
  <c r="M510" i="3"/>
  <c r="N510" i="3" s="1"/>
  <c r="L510" i="3" l="1"/>
  <c r="AA511" i="3"/>
  <c r="AC511" i="3"/>
  <c r="P511" i="3"/>
  <c r="Q511" i="3" s="1"/>
  <c r="R511" i="3" s="1"/>
  <c r="S511" i="3" s="1"/>
  <c r="Z511" i="3"/>
  <c r="AD511" i="3"/>
  <c r="W510" i="3"/>
  <c r="U510" i="3" l="1"/>
  <c r="Y509" i="3"/>
  <c r="T511" i="3"/>
  <c r="AG511" i="3" s="1"/>
  <c r="AH511" i="3" l="1"/>
  <c r="D511" i="3"/>
  <c r="E511" i="3"/>
  <c r="H511" i="3" s="1"/>
  <c r="F511" i="3" l="1"/>
  <c r="G511" i="3"/>
  <c r="K511" i="3"/>
  <c r="AE511" i="3" s="1"/>
  <c r="V511" i="3" l="1"/>
  <c r="A512" i="3"/>
  <c r="B512" i="3" s="1"/>
  <c r="I511" i="3"/>
  <c r="J511" i="3"/>
  <c r="M511" i="3"/>
  <c r="N511" i="3" s="1"/>
  <c r="W511" i="3" l="1"/>
  <c r="L511" i="3"/>
  <c r="AC512" i="3"/>
  <c r="Z512" i="3"/>
  <c r="AA512" i="3"/>
  <c r="P512" i="3"/>
  <c r="Q512" i="3" s="1"/>
  <c r="R512" i="3" s="1"/>
  <c r="S512" i="3" s="1"/>
  <c r="AD512" i="3"/>
  <c r="T512" i="3" l="1"/>
  <c r="U511" i="3"/>
  <c r="Y510" i="3"/>
  <c r="D512" i="3" l="1"/>
  <c r="G512" i="3" s="1"/>
  <c r="AH512" i="3"/>
  <c r="E512" i="3"/>
  <c r="H512" i="3" s="1"/>
  <c r="K512" i="3" s="1"/>
  <c r="AE512" i="3" s="1"/>
  <c r="AG512" i="3"/>
  <c r="F512" i="3" l="1"/>
  <c r="I512" i="3"/>
  <c r="J512" i="3"/>
  <c r="M512" i="3"/>
  <c r="N512" i="3" s="1"/>
  <c r="V512" i="3"/>
  <c r="A513" i="3"/>
  <c r="B513" i="3" s="1"/>
  <c r="W512" i="3" l="1"/>
  <c r="L512" i="3"/>
  <c r="AA513" i="3"/>
  <c r="P513" i="3"/>
  <c r="Q513" i="3" s="1"/>
  <c r="R513" i="3" s="1"/>
  <c r="S513" i="3" s="1"/>
  <c r="AC513" i="3"/>
  <c r="AD513" i="3"/>
  <c r="Z513" i="3"/>
  <c r="T513" i="3" l="1"/>
  <c r="AG513" i="3" s="1"/>
  <c r="U512" i="3"/>
  <c r="Y511" i="3"/>
  <c r="AH513" i="3" l="1"/>
  <c r="E513" i="3"/>
  <c r="H513" i="3" s="1"/>
  <c r="D513" i="3"/>
  <c r="F513" i="3" l="1"/>
  <c r="G513" i="3"/>
  <c r="K513" i="3"/>
  <c r="AE513" i="3" s="1"/>
  <c r="V513" i="3" l="1"/>
  <c r="A514" i="3"/>
  <c r="B514" i="3" s="1"/>
  <c r="I513" i="3"/>
  <c r="J513" i="3"/>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AD515" i="3"/>
  <c r="P515" i="3"/>
  <c r="Q515" i="3" s="1"/>
  <c r="R515" i="3" s="1"/>
  <c r="S515" i="3" s="1"/>
  <c r="AC515" i="3"/>
  <c r="Z515" i="3"/>
  <c r="AA515" i="3"/>
  <c r="U514" i="3" l="1"/>
  <c r="Y513" i="3"/>
  <c r="T515" i="3"/>
  <c r="D515" i="3" l="1"/>
  <c r="G515" i="3" s="1"/>
  <c r="AG515" i="3"/>
  <c r="AH515" i="3"/>
  <c r="E515" i="3"/>
  <c r="H515" i="3" s="1"/>
  <c r="K515" i="3" l="1"/>
  <c r="AE515" i="3" s="1"/>
  <c r="I515" i="3"/>
  <c r="J515" i="3"/>
  <c r="M515" i="3"/>
  <c r="N515" i="3" s="1"/>
  <c r="F515" i="3"/>
  <c r="L515" i="3" l="1"/>
  <c r="V515" i="3"/>
  <c r="W515" i="3" s="1"/>
  <c r="A516" i="3"/>
  <c r="B516" i="3" s="1"/>
  <c r="U515" i="3" l="1"/>
  <c r="Y514" i="3"/>
  <c r="AA516" i="3"/>
  <c r="Z516" i="3"/>
  <c r="AC516" i="3"/>
  <c r="P516" i="3"/>
  <c r="Q516" i="3" s="1"/>
  <c r="R516" i="3" s="1"/>
  <c r="S516" i="3" s="1"/>
  <c r="AD516" i="3"/>
  <c r="T516" i="3" l="1"/>
  <c r="AG516" i="3" s="1"/>
  <c r="D516" i="3" l="1"/>
  <c r="AH516" i="3"/>
  <c r="E516" i="3"/>
  <c r="H516" i="3" s="1"/>
  <c r="F516" i="3" l="1"/>
  <c r="G516" i="3"/>
  <c r="K516" i="3"/>
  <c r="AE516" i="3" s="1"/>
  <c r="I516" i="3" l="1"/>
  <c r="J516" i="3"/>
  <c r="M516" i="3"/>
  <c r="N516" i="3" s="1"/>
  <c r="V516" i="3"/>
  <c r="A517" i="3"/>
  <c r="B517" i="3" s="1"/>
  <c r="W516" i="3" l="1"/>
  <c r="L516" i="3"/>
  <c r="AD517" i="3"/>
  <c r="AC517" i="3"/>
  <c r="P517" i="3"/>
  <c r="Q517" i="3" s="1"/>
  <c r="R517" i="3" s="1"/>
  <c r="S517" i="3" s="1"/>
  <c r="AA517" i="3"/>
  <c r="Z517" i="3"/>
  <c r="U516" i="3" l="1"/>
  <c r="Y515" i="3"/>
  <c r="T517" i="3"/>
  <c r="AG517" i="3" s="1"/>
  <c r="D517" i="3" l="1"/>
  <c r="G517" i="3" s="1"/>
  <c r="AH517" i="3"/>
  <c r="E517" i="3"/>
  <c r="H517" i="3" s="1"/>
  <c r="K517" i="3" s="1"/>
  <c r="AE517" i="3" s="1"/>
  <c r="F517" i="3" l="1"/>
  <c r="I517" i="3"/>
  <c r="J517" i="3"/>
  <c r="M517" i="3"/>
  <c r="N517" i="3" s="1"/>
  <c r="V517" i="3"/>
  <c r="A518" i="3"/>
  <c r="B518" i="3" s="1"/>
  <c r="W517" i="3" l="1"/>
  <c r="L517" i="3"/>
  <c r="AD518" i="3"/>
  <c r="AA518" i="3"/>
  <c r="AC518" i="3"/>
  <c r="Z518" i="3"/>
  <c r="P518" i="3"/>
  <c r="Q518" i="3" s="1"/>
  <c r="R518" i="3" s="1"/>
  <c r="S518" i="3" s="1"/>
  <c r="U517" i="3" l="1"/>
  <c r="Y516" i="3"/>
  <c r="T518" i="3"/>
  <c r="D518" i="3" l="1"/>
  <c r="G518" i="3" s="1"/>
  <c r="E518" i="3"/>
  <c r="H518" i="3" s="1"/>
  <c r="AH518" i="3"/>
  <c r="AG518" i="3"/>
  <c r="F518" i="3" l="1"/>
  <c r="I518" i="3"/>
  <c r="J518" i="3"/>
  <c r="M518" i="3"/>
  <c r="N518" i="3" s="1"/>
  <c r="K518" i="3"/>
  <c r="AE518" i="3" s="1"/>
  <c r="V518" i="3" l="1"/>
  <c r="W518" i="3" s="1"/>
  <c r="A519" i="3"/>
  <c r="B519" i="3" s="1"/>
  <c r="L518" i="3"/>
  <c r="U518" i="3" l="1"/>
  <c r="Y517" i="3"/>
  <c r="AD519" i="3"/>
  <c r="AA519" i="3"/>
  <c r="Z519" i="3"/>
  <c r="AC519" i="3"/>
  <c r="P519" i="3"/>
  <c r="Q519" i="3" s="1"/>
  <c r="R519" i="3" s="1"/>
  <c r="S519" i="3" s="1"/>
  <c r="T519" i="3" l="1"/>
  <c r="D519" i="3" s="1"/>
  <c r="AG519" i="3" l="1"/>
  <c r="G519" i="3"/>
  <c r="AH519" i="3"/>
  <c r="E519" i="3"/>
  <c r="H519" i="3" s="1"/>
  <c r="F519" i="3" l="1"/>
  <c r="I519" i="3"/>
  <c r="J519" i="3"/>
  <c r="M519" i="3"/>
  <c r="N519" i="3" s="1"/>
  <c r="K519" i="3"/>
  <c r="AE519" i="3" s="1"/>
  <c r="V519" i="3" l="1"/>
  <c r="W519" i="3" s="1"/>
  <c r="A520" i="3"/>
  <c r="B520" i="3" s="1"/>
  <c r="L519" i="3"/>
  <c r="U519" i="3" l="1"/>
  <c r="Y518" i="3"/>
  <c r="AA520" i="3"/>
  <c r="AC520" i="3"/>
  <c r="Z520" i="3"/>
  <c r="AD520" i="3"/>
  <c r="P520" i="3"/>
  <c r="Q520" i="3" s="1"/>
  <c r="R520" i="3" s="1"/>
  <c r="S520" i="3" s="1"/>
  <c r="T520" i="3" l="1"/>
  <c r="D520" i="3" s="1"/>
  <c r="AG520" i="3" l="1"/>
  <c r="E520" i="3"/>
  <c r="H520" i="3" s="1"/>
  <c r="K520" i="3" s="1"/>
  <c r="AE520" i="3" s="1"/>
  <c r="AH520" i="3"/>
  <c r="G520" i="3"/>
  <c r="F520" i="3" l="1"/>
  <c r="I520" i="3"/>
  <c r="J520" i="3"/>
  <c r="M520" i="3"/>
  <c r="N520" i="3" s="1"/>
  <c r="V520" i="3"/>
  <c r="A521" i="3"/>
  <c r="B521" i="3" s="1"/>
  <c r="W520" i="3" l="1"/>
  <c r="L520" i="3"/>
  <c r="P521" i="3"/>
  <c r="Q521" i="3" s="1"/>
  <c r="R521" i="3" s="1"/>
  <c r="S521" i="3" s="1"/>
  <c r="AC521" i="3"/>
  <c r="AA521" i="3"/>
  <c r="AD521" i="3"/>
  <c r="Z521" i="3"/>
  <c r="U520" i="3" l="1"/>
  <c r="Y519" i="3"/>
  <c r="T521" i="3"/>
  <c r="AH521" i="3" s="1"/>
  <c r="AG521" i="3" l="1"/>
  <c r="D521" i="3"/>
  <c r="E521" i="3"/>
  <c r="H521" i="3" s="1"/>
  <c r="K521" i="3" s="1"/>
  <c r="AE521" i="3" s="1"/>
  <c r="F521" i="3" l="1"/>
  <c r="G521" i="3"/>
  <c r="I521" i="3" s="1"/>
  <c r="V521" i="3"/>
  <c r="A522" i="3"/>
  <c r="B522" i="3" s="1"/>
  <c r="M521" i="3" l="1"/>
  <c r="N521" i="3" s="1"/>
  <c r="J521" i="3"/>
  <c r="L521" i="3" s="1"/>
  <c r="W521" i="3"/>
  <c r="AC522" i="3"/>
  <c r="P522" i="3"/>
  <c r="Q522" i="3" s="1"/>
  <c r="R522" i="3" s="1"/>
  <c r="S522" i="3" s="1"/>
  <c r="AA522" i="3"/>
  <c r="AD522" i="3"/>
  <c r="Z522" i="3"/>
  <c r="U521" i="3" l="1"/>
  <c r="Y520" i="3"/>
  <c r="T522" i="3"/>
  <c r="AG522" i="3" s="1"/>
  <c r="AH522" i="3" l="1"/>
  <c r="E522" i="3"/>
  <c r="H522" i="3" s="1"/>
  <c r="D522" i="3"/>
  <c r="K522" i="3" l="1"/>
  <c r="AE522" i="3" s="1"/>
  <c r="F522" i="3"/>
  <c r="G522" i="3"/>
  <c r="I522" i="3" l="1"/>
  <c r="J522" i="3"/>
  <c r="M522" i="3"/>
  <c r="N522" i="3" s="1"/>
  <c r="V522" i="3"/>
  <c r="A523" i="3"/>
  <c r="B523" i="3" s="1"/>
  <c r="W522" i="3" l="1"/>
  <c r="L522" i="3"/>
  <c r="AC523" i="3"/>
  <c r="Z523" i="3"/>
  <c r="AD523" i="3"/>
  <c r="AA523" i="3"/>
  <c r="P523" i="3"/>
  <c r="Q523" i="3" s="1"/>
  <c r="R523" i="3" s="1"/>
  <c r="S523" i="3" s="1"/>
  <c r="U522" i="3" l="1"/>
  <c r="Y521" i="3"/>
  <c r="T523" i="3"/>
  <c r="AG523" i="3" s="1"/>
  <c r="AH523" i="3" l="1"/>
  <c r="D523" i="3"/>
  <c r="G523" i="3" s="1"/>
  <c r="E523" i="3"/>
  <c r="H523" i="3" s="1"/>
  <c r="F523" i="3" l="1"/>
  <c r="I523" i="3"/>
  <c r="J523" i="3"/>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AD527" i="3"/>
  <c r="Z527" i="3"/>
  <c r="AC527" i="3"/>
  <c r="P527" i="3"/>
  <c r="Q527" i="3" s="1"/>
  <c r="R527" i="3" s="1"/>
  <c r="S527" i="3" s="1"/>
  <c r="AA527" i="3"/>
  <c r="U526" i="3" l="1"/>
  <c r="Y525" i="3"/>
  <c r="T527" i="3"/>
  <c r="D527" i="3" l="1"/>
  <c r="G527" i="3" s="1"/>
  <c r="E527" i="3"/>
  <c r="H527" i="3" s="1"/>
  <c r="AG527" i="3"/>
  <c r="AH527" i="3"/>
  <c r="F527" i="3" l="1"/>
  <c r="I527" i="3"/>
  <c r="J527" i="3"/>
  <c r="M527" i="3"/>
  <c r="N527" i="3" s="1"/>
  <c r="K527" i="3"/>
  <c r="AE527" i="3" s="1"/>
  <c r="V527" i="3" l="1"/>
  <c r="W527" i="3" s="1"/>
  <c r="A528" i="3"/>
  <c r="B528" i="3" s="1"/>
  <c r="L527" i="3"/>
  <c r="U527" i="3" l="1"/>
  <c r="Y526" i="3"/>
  <c r="Z528" i="3"/>
  <c r="P528" i="3"/>
  <c r="Q528" i="3" s="1"/>
  <c r="R528" i="3" s="1"/>
  <c r="S528" i="3" s="1"/>
  <c r="AC528" i="3"/>
  <c r="AD528" i="3"/>
  <c r="AA528" i="3"/>
  <c r="T528" i="3" l="1"/>
  <c r="AH528" i="3" s="1"/>
  <c r="D528" i="3" l="1"/>
  <c r="E528" i="3"/>
  <c r="H528" i="3" s="1"/>
  <c r="K528" i="3" s="1"/>
  <c r="AE528" i="3" s="1"/>
  <c r="AG528" i="3"/>
  <c r="F528" i="3" l="1"/>
  <c r="G528" i="3"/>
  <c r="M528" i="3" s="1"/>
  <c r="N528" i="3" s="1"/>
  <c r="V528" i="3"/>
  <c r="A529" i="3"/>
  <c r="B529" i="3" s="1"/>
  <c r="I528" i="3" l="1"/>
  <c r="W528" i="3" s="1"/>
  <c r="J528" i="3"/>
  <c r="L528" i="3" s="1"/>
  <c r="Z529" i="3"/>
  <c r="AC529" i="3"/>
  <c r="AD529" i="3"/>
  <c r="P529" i="3"/>
  <c r="Q529" i="3" s="1"/>
  <c r="R529" i="3" s="1"/>
  <c r="S529" i="3" s="1"/>
  <c r="AA529" i="3"/>
  <c r="U528" i="3" l="1"/>
  <c r="Y527" i="3"/>
  <c r="T529" i="3"/>
  <c r="AG529" i="3" s="1"/>
  <c r="D529" i="3" l="1"/>
  <c r="G529" i="3" s="1"/>
  <c r="AH529" i="3"/>
  <c r="E529" i="3"/>
  <c r="H529" i="3" s="1"/>
  <c r="K529" i="3" s="1"/>
  <c r="AE529" i="3" s="1"/>
  <c r="F529" i="3" l="1"/>
  <c r="I529" i="3"/>
  <c r="J529" i="3"/>
  <c r="M529" i="3"/>
  <c r="N529" i="3" s="1"/>
  <c r="V529" i="3"/>
  <c r="A530" i="3"/>
  <c r="B530" i="3" s="1"/>
  <c r="W529" i="3" l="1"/>
  <c r="L529" i="3"/>
  <c r="Z530" i="3"/>
  <c r="AD530" i="3"/>
  <c r="P530" i="3"/>
  <c r="Q530" i="3" s="1"/>
  <c r="R530" i="3" s="1"/>
  <c r="S530" i="3" s="1"/>
  <c r="AC530" i="3"/>
  <c r="AA530" i="3"/>
  <c r="T530" i="3" l="1"/>
  <c r="AG530" i="3" s="1"/>
  <c r="U529" i="3"/>
  <c r="Y528" i="3"/>
  <c r="D530" i="3" l="1"/>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D537" i="3"/>
  <c r="AA537" i="3"/>
  <c r="U536" i="3" l="1"/>
  <c r="Y535" i="3"/>
  <c r="T537" i="3"/>
  <c r="AH537" i="3" s="1"/>
  <c r="AG537" i="3" l="1"/>
  <c r="E537" i="3"/>
  <c r="H537" i="3" s="1"/>
  <c r="D537" i="3"/>
  <c r="K537" i="3" l="1"/>
  <c r="AE537" i="3" s="1"/>
  <c r="F537" i="3"/>
  <c r="G537" i="3"/>
  <c r="I537" i="3" l="1"/>
  <c r="J537" i="3"/>
  <c r="M537" i="3"/>
  <c r="N537" i="3" s="1"/>
  <c r="V537" i="3"/>
  <c r="A538" i="3"/>
  <c r="B538" i="3" s="1"/>
  <c r="W537" i="3" l="1"/>
  <c r="L537" i="3"/>
  <c r="AA538" i="3"/>
  <c r="AC538" i="3"/>
  <c r="AD538" i="3"/>
  <c r="Z538" i="3"/>
  <c r="P538" i="3"/>
  <c r="Q538" i="3" s="1"/>
  <c r="R538" i="3" s="1"/>
  <c r="S538" i="3" s="1"/>
  <c r="T538" i="3" l="1"/>
  <c r="U537" i="3"/>
  <c r="Y536" i="3"/>
  <c r="D538" i="3" l="1"/>
  <c r="G538" i="3" s="1"/>
  <c r="AH538" i="3"/>
  <c r="AG538" i="3"/>
  <c r="E538" i="3"/>
  <c r="H538" i="3" s="1"/>
  <c r="F538" i="3" l="1"/>
  <c r="I538" i="3"/>
  <c r="J538" i="3"/>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D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M545" i="3"/>
  <c r="N545" i="3" s="1"/>
  <c r="AC546" i="3"/>
  <c r="P546" i="3"/>
  <c r="Q546" i="3" s="1"/>
  <c r="R546" i="3" s="1"/>
  <c r="S546" i="3" s="1"/>
  <c r="Z546" i="3"/>
  <c r="AA546" i="3"/>
  <c r="AD546" i="3"/>
  <c r="T546" i="3" l="1"/>
  <c r="L545" i="3"/>
  <c r="U545" i="3" l="1"/>
  <c r="D546" i="3" s="1"/>
  <c r="AG546" i="3"/>
  <c r="AH546" i="3"/>
  <c r="Y544" i="3"/>
  <c r="E546" i="3" l="1"/>
  <c r="H546" i="3" s="1"/>
  <c r="K546" i="3" s="1"/>
  <c r="AE546" i="3" s="1"/>
  <c r="G546" i="3"/>
  <c r="F546" i="3" l="1"/>
  <c r="V546" i="3"/>
  <c r="A547" i="3"/>
  <c r="B547" i="3" s="1"/>
  <c r="I546" i="3"/>
  <c r="J546" i="3"/>
  <c r="M546" i="3"/>
  <c r="N546" i="3" s="1"/>
  <c r="W546" i="3" l="1"/>
  <c r="L546" i="3"/>
  <c r="AC547" i="3"/>
  <c r="AD547" i="3"/>
  <c r="P547" i="3"/>
  <c r="Q547" i="3" s="1"/>
  <c r="R547" i="3" s="1"/>
  <c r="S547" i="3" s="1"/>
  <c r="AA547" i="3"/>
  <c r="Z547" i="3"/>
  <c r="U546" i="3" l="1"/>
  <c r="Y545" i="3"/>
  <c r="T547" i="3"/>
  <c r="AG547" i="3" s="1"/>
  <c r="E547" i="3" l="1"/>
  <c r="H547" i="3" s="1"/>
  <c r="K547" i="3" s="1"/>
  <c r="AE547" i="3" s="1"/>
  <c r="D547" i="3"/>
  <c r="G547" i="3" s="1"/>
  <c r="AH547" i="3"/>
  <c r="F547" i="3" l="1"/>
  <c r="I547" i="3"/>
  <c r="J547" i="3"/>
  <c r="M547" i="3"/>
  <c r="N547" i="3" s="1"/>
  <c r="V547" i="3"/>
  <c r="A548" i="3"/>
  <c r="B548" i="3" s="1"/>
  <c r="W547" i="3" l="1"/>
  <c r="L547" i="3"/>
  <c r="Z548" i="3"/>
  <c r="AA548" i="3"/>
  <c r="P548" i="3"/>
  <c r="Q548" i="3" s="1"/>
  <c r="R548" i="3" s="1"/>
  <c r="S548" i="3" s="1"/>
  <c r="AC548" i="3"/>
  <c r="AD548" i="3"/>
  <c r="U547" i="3" l="1"/>
  <c r="Y546" i="3"/>
  <c r="T548" i="3"/>
  <c r="E548" i="3" l="1"/>
  <c r="H548" i="3" s="1"/>
  <c r="K548" i="3" s="1"/>
  <c r="AE548" i="3" s="1"/>
  <c r="D548" i="3"/>
  <c r="AG548" i="3"/>
  <c r="AH548" i="3"/>
  <c r="V548" i="3" l="1"/>
  <c r="A549" i="3"/>
  <c r="B549" i="3" s="1"/>
  <c r="F548" i="3"/>
  <c r="G548" i="3"/>
  <c r="I548" i="3" l="1"/>
  <c r="W548" i="3" s="1"/>
  <c r="J548" i="3"/>
  <c r="M548" i="3"/>
  <c r="N548" i="3" s="1"/>
  <c r="P549" i="3"/>
  <c r="Q549" i="3" s="1"/>
  <c r="R549" i="3" s="1"/>
  <c r="S549" i="3" s="1"/>
  <c r="AC549" i="3"/>
  <c r="AA549" i="3"/>
  <c r="Z549" i="3"/>
  <c r="AD549" i="3"/>
  <c r="T549" i="3" l="1"/>
  <c r="L548" i="3"/>
  <c r="AH549" i="3" l="1"/>
  <c r="U548" i="3"/>
  <c r="E549" i="3" s="1"/>
  <c r="H549" i="3" s="1"/>
  <c r="AG549" i="3"/>
  <c r="Y547" i="3"/>
  <c r="K549" i="3" l="1"/>
  <c r="AE549" i="3" s="1"/>
  <c r="D549" i="3"/>
  <c r="V549" i="3" l="1"/>
  <c r="A550" i="3"/>
  <c r="B550" i="3" s="1"/>
  <c r="F549" i="3"/>
  <c r="G549" i="3"/>
  <c r="I549" i="3" l="1"/>
  <c r="W549" i="3" s="1"/>
  <c r="J549" i="3"/>
  <c r="M549" i="3"/>
  <c r="N549" i="3" s="1"/>
  <c r="P550" i="3"/>
  <c r="Q550" i="3" s="1"/>
  <c r="R550" i="3" s="1"/>
  <c r="S550" i="3" s="1"/>
  <c r="AA550" i="3"/>
  <c r="AC550" i="3"/>
  <c r="Z550" i="3"/>
  <c r="AD550" i="3"/>
  <c r="T550" i="3" l="1"/>
  <c r="L549" i="3"/>
  <c r="U549" i="3" l="1"/>
  <c r="D550" i="3" s="1"/>
  <c r="AH550" i="3"/>
  <c r="AG550" i="3"/>
  <c r="Y548" i="3"/>
  <c r="E550" i="3" l="1"/>
  <c r="H550" i="3" s="1"/>
  <c r="K550" i="3" s="1"/>
  <c r="AE550" i="3" s="1"/>
  <c r="G550" i="3"/>
  <c r="F550" i="3" l="1"/>
  <c r="I550" i="3"/>
  <c r="J550" i="3"/>
  <c r="M550" i="3"/>
  <c r="N550" i="3" s="1"/>
  <c r="V550" i="3"/>
  <c r="A551" i="3"/>
  <c r="B551" i="3" s="1"/>
  <c r="W550" i="3" l="1"/>
  <c r="L550" i="3"/>
  <c r="AD551" i="3"/>
  <c r="P551" i="3"/>
  <c r="Q551" i="3" s="1"/>
  <c r="R551" i="3" s="1"/>
  <c r="S551" i="3" s="1"/>
  <c r="AC551" i="3"/>
  <c r="AA551" i="3"/>
  <c r="Z551" i="3"/>
  <c r="T551" i="3" l="1"/>
  <c r="AG551" i="3" s="1"/>
  <c r="U550" i="3"/>
  <c r="Y549" i="3"/>
  <c r="D551" i="3" l="1"/>
  <c r="G551" i="3" s="1"/>
  <c r="AH551" i="3"/>
  <c r="E551" i="3"/>
  <c r="H551" i="3" s="1"/>
  <c r="F551" i="3" l="1"/>
  <c r="I551" i="3"/>
  <c r="J551" i="3"/>
  <c r="M551" i="3"/>
  <c r="N551" i="3" s="1"/>
  <c r="K551" i="3"/>
  <c r="AE551" i="3" s="1"/>
  <c r="V551" i="3" l="1"/>
  <c r="W551" i="3" s="1"/>
  <c r="A552" i="3"/>
  <c r="B552" i="3" s="1"/>
  <c r="L551" i="3"/>
  <c r="U551" i="3" l="1"/>
  <c r="Y550" i="3"/>
  <c r="AA552" i="3"/>
  <c r="P552" i="3"/>
  <c r="Q552" i="3" s="1"/>
  <c r="R552" i="3" s="1"/>
  <c r="S552" i="3" s="1"/>
  <c r="AC552" i="3"/>
  <c r="Z552" i="3"/>
  <c r="AD552" i="3"/>
  <c r="T552" i="3" l="1"/>
  <c r="D552" i="3" s="1"/>
  <c r="AG552" i="3" l="1"/>
  <c r="AH552" i="3"/>
  <c r="E552" i="3"/>
  <c r="H552" i="3" s="1"/>
  <c r="K552" i="3" s="1"/>
  <c r="AE552" i="3" s="1"/>
  <c r="G552" i="3"/>
  <c r="F552" i="3" l="1"/>
  <c r="I552" i="3"/>
  <c r="J552" i="3"/>
  <c r="M552" i="3"/>
  <c r="N552" i="3" s="1"/>
  <c r="V552" i="3"/>
  <c r="A553" i="3"/>
  <c r="B553" i="3" s="1"/>
  <c r="W552" i="3" l="1"/>
  <c r="L552" i="3"/>
  <c r="P553" i="3"/>
  <c r="Q553" i="3" s="1"/>
  <c r="R553" i="3" s="1"/>
  <c r="S553" i="3" s="1"/>
  <c r="Z553" i="3"/>
  <c r="AC553" i="3"/>
  <c r="AA553" i="3"/>
  <c r="AD553" i="3"/>
  <c r="T553" i="3" l="1"/>
  <c r="U552" i="3"/>
  <c r="Y551" i="3"/>
  <c r="D553" i="3" l="1"/>
  <c r="G553" i="3" s="1"/>
  <c r="AH553" i="3"/>
  <c r="AG553" i="3"/>
  <c r="E553" i="3"/>
  <c r="H553" i="3" s="1"/>
  <c r="K553" i="3" l="1"/>
  <c r="AE553" i="3" s="1"/>
  <c r="F553" i="3"/>
  <c r="I553" i="3"/>
  <c r="J553" i="3"/>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AD555" i="3"/>
  <c r="L554" i="3" l="1"/>
  <c r="T555" i="3"/>
  <c r="U554" i="3" l="1"/>
  <c r="E555" i="3" s="1"/>
  <c r="H555" i="3" s="1"/>
  <c r="AG555" i="3"/>
  <c r="AH555" i="3"/>
  <c r="Y553" i="3"/>
  <c r="K555" i="3" l="1"/>
  <c r="AE555" i="3" s="1"/>
  <c r="D555" i="3"/>
  <c r="F555" i="3" l="1"/>
  <c r="G555" i="3"/>
  <c r="V555" i="3"/>
  <c r="A556" i="3"/>
  <c r="B556" i="3" s="1"/>
  <c r="P556" i="3" l="1"/>
  <c r="Q556" i="3" s="1"/>
  <c r="R556" i="3" s="1"/>
  <c r="S556" i="3" s="1"/>
  <c r="AA556" i="3"/>
  <c r="AD556" i="3"/>
  <c r="Z556" i="3"/>
  <c r="AC556" i="3"/>
  <c r="I555" i="3"/>
  <c r="W555" i="3" s="1"/>
  <c r="J555" i="3"/>
  <c r="M555" i="3"/>
  <c r="N555" i="3" s="1"/>
  <c r="T556" i="3" l="1"/>
  <c r="L555" i="3"/>
  <c r="AH556" i="3" l="1"/>
  <c r="U555" i="3"/>
  <c r="D556" i="3" s="1"/>
  <c r="AG556" i="3"/>
  <c r="Y554" i="3"/>
  <c r="E556" i="3" l="1"/>
  <c r="H556" i="3" s="1"/>
  <c r="K556" i="3" s="1"/>
  <c r="AE556" i="3" s="1"/>
  <c r="G556" i="3"/>
  <c r="F556" i="3" l="1"/>
  <c r="I556" i="3"/>
  <c r="J556" i="3"/>
  <c r="M556" i="3"/>
  <c r="N556" i="3" s="1"/>
  <c r="V556" i="3"/>
  <c r="A557" i="3"/>
  <c r="B557" i="3" s="1"/>
  <c r="W556" i="3" l="1"/>
  <c r="L556" i="3"/>
  <c r="AD557" i="3"/>
  <c r="P557" i="3"/>
  <c r="Q557" i="3" s="1"/>
  <c r="R557" i="3" s="1"/>
  <c r="S557" i="3" s="1"/>
  <c r="AA557" i="3"/>
  <c r="AC557" i="3"/>
  <c r="Z557" i="3"/>
  <c r="U556" i="3" l="1"/>
  <c r="Y555" i="3"/>
  <c r="T557" i="3"/>
  <c r="AH557" i="3" s="1"/>
  <c r="D557" i="3" l="1"/>
  <c r="G557" i="3" s="1"/>
  <c r="AG557" i="3"/>
  <c r="E557" i="3"/>
  <c r="H557" i="3" s="1"/>
  <c r="K557" i="3" s="1"/>
  <c r="AE557" i="3" s="1"/>
  <c r="F557" i="3" l="1"/>
  <c r="I557" i="3"/>
  <c r="J557" i="3"/>
  <c r="M557" i="3"/>
  <c r="N557" i="3" s="1"/>
  <c r="V557" i="3"/>
  <c r="A558" i="3"/>
  <c r="B558" i="3" s="1"/>
  <c r="W557" i="3" l="1"/>
  <c r="L557" i="3"/>
  <c r="AA558" i="3"/>
  <c r="AD558" i="3"/>
  <c r="P558" i="3"/>
  <c r="Q558" i="3" s="1"/>
  <c r="R558" i="3" s="1"/>
  <c r="S558" i="3" s="1"/>
  <c r="Z558" i="3"/>
  <c r="AC558" i="3"/>
  <c r="T558" i="3" l="1"/>
  <c r="AG558" i="3" s="1"/>
  <c r="U557" i="3"/>
  <c r="Y556" i="3"/>
  <c r="E558" i="3" l="1"/>
  <c r="H558" i="3" s="1"/>
  <c r="AH558" i="3"/>
  <c r="D558" i="3"/>
  <c r="F558" i="3" l="1"/>
  <c r="G558" i="3"/>
  <c r="K558" i="3"/>
  <c r="AE558" i="3" s="1"/>
  <c r="I558" i="3" l="1"/>
  <c r="J558" i="3"/>
  <c r="M558" i="3"/>
  <c r="N558" i="3" s="1"/>
  <c r="V558" i="3"/>
  <c r="A559" i="3"/>
  <c r="B559" i="3" s="1"/>
  <c r="W558" i="3" l="1"/>
  <c r="L558" i="3"/>
  <c r="AC559" i="3"/>
  <c r="P559" i="3"/>
  <c r="Q559" i="3" s="1"/>
  <c r="R559" i="3" s="1"/>
  <c r="S559" i="3" s="1"/>
  <c r="AA559" i="3"/>
  <c r="Z559" i="3"/>
  <c r="AD559" i="3"/>
  <c r="T559" i="3" l="1"/>
  <c r="U558" i="3"/>
  <c r="Y557" i="3"/>
  <c r="E559" i="3" l="1"/>
  <c r="H559" i="3" s="1"/>
  <c r="K559" i="3" s="1"/>
  <c r="AE559" i="3" s="1"/>
  <c r="AH559" i="3"/>
  <c r="AG559" i="3"/>
  <c r="D559" i="3"/>
  <c r="V559" i="3" l="1"/>
  <c r="A560" i="3"/>
  <c r="B560" i="3" s="1"/>
  <c r="F559" i="3"/>
  <c r="G559" i="3"/>
  <c r="I559" i="3" l="1"/>
  <c r="W559" i="3" s="1"/>
  <c r="J559" i="3"/>
  <c r="M559" i="3"/>
  <c r="N559" i="3" s="1"/>
  <c r="AD560" i="3"/>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M560" i="3"/>
  <c r="N560" i="3" s="1"/>
  <c r="W560" i="3" l="1"/>
  <c r="L560" i="3"/>
  <c r="AA561" i="3"/>
  <c r="P561" i="3"/>
  <c r="Q561" i="3" s="1"/>
  <c r="R561" i="3" s="1"/>
  <c r="S561" i="3" s="1"/>
  <c r="Z561" i="3"/>
  <c r="AD561" i="3"/>
  <c r="AC561" i="3"/>
  <c r="U560" i="3" l="1"/>
  <c r="Y559" i="3"/>
  <c r="T561" i="3"/>
  <c r="E561" i="3" l="1"/>
  <c r="H561" i="3" s="1"/>
  <c r="K561" i="3" s="1"/>
  <c r="AE561" i="3" s="1"/>
  <c r="D561" i="3"/>
  <c r="AH561" i="3"/>
  <c r="AG561" i="3"/>
  <c r="F561" i="3" l="1"/>
  <c r="G561" i="3"/>
  <c r="M561" i="3" s="1"/>
  <c r="N561" i="3" s="1"/>
  <c r="V561" i="3"/>
  <c r="A562" i="3"/>
  <c r="B562" i="3" s="1"/>
  <c r="I561" i="3" l="1"/>
  <c r="W561" i="3" s="1"/>
  <c r="J561" i="3"/>
  <c r="L561" i="3" s="1"/>
  <c r="Z562" i="3"/>
  <c r="AA562" i="3"/>
  <c r="AD562" i="3"/>
  <c r="P562" i="3"/>
  <c r="Q562" i="3" s="1"/>
  <c r="R562" i="3" s="1"/>
  <c r="S562" i="3" s="1"/>
  <c r="AC562" i="3"/>
  <c r="U561" i="3" l="1"/>
  <c r="Y560" i="3"/>
  <c r="T562" i="3"/>
  <c r="AH562" i="3" s="1"/>
  <c r="AG562" i="3" l="1"/>
  <c r="E562" i="3"/>
  <c r="H562" i="3" s="1"/>
  <c r="K562" i="3" s="1"/>
  <c r="AE562" i="3" s="1"/>
  <c r="D562" i="3"/>
  <c r="F562" i="3" l="1"/>
  <c r="G562" i="3"/>
  <c r="J562" i="3" s="1"/>
  <c r="V562" i="3"/>
  <c r="A563" i="3"/>
  <c r="B563" i="3" s="1"/>
  <c r="M562" i="3" l="1"/>
  <c r="N562" i="3" s="1"/>
  <c r="I562" i="3"/>
  <c r="W562" i="3" s="1"/>
  <c r="L562" i="3"/>
  <c r="Z563" i="3"/>
  <c r="P563" i="3"/>
  <c r="Q563" i="3" s="1"/>
  <c r="R563" i="3" s="1"/>
  <c r="S563" i="3" s="1"/>
  <c r="AC563" i="3"/>
  <c r="AA563" i="3"/>
  <c r="AD563" i="3"/>
  <c r="U562" i="3" l="1"/>
  <c r="Y561" i="3"/>
  <c r="T563" i="3"/>
  <c r="AH563" i="3" s="1"/>
  <c r="AG563" i="3" l="1"/>
  <c r="D563" i="3"/>
  <c r="E563" i="3"/>
  <c r="H563" i="3" s="1"/>
  <c r="K563" i="3" s="1"/>
  <c r="AE563" i="3" s="1"/>
  <c r="F563" i="3" l="1"/>
  <c r="G563" i="3"/>
  <c r="M563" i="3" s="1"/>
  <c r="N563" i="3" s="1"/>
  <c r="V563" i="3"/>
  <c r="A564" i="3"/>
  <c r="B564" i="3" s="1"/>
  <c r="I563" i="3" l="1"/>
  <c r="W563" i="3" s="1"/>
  <c r="J563" i="3"/>
  <c r="L563" i="3" s="1"/>
  <c r="Z564" i="3"/>
  <c r="P564" i="3"/>
  <c r="Q564" i="3" s="1"/>
  <c r="R564" i="3" s="1"/>
  <c r="S564" i="3" s="1"/>
  <c r="AC564" i="3"/>
  <c r="AA564" i="3"/>
  <c r="U563" i="3" l="1"/>
  <c r="Y562" i="3"/>
  <c r="T564" i="3"/>
  <c r="AH564" i="3" s="1"/>
  <c r="D564" i="3" l="1"/>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AD565" i="3"/>
  <c r="U564" i="3" l="1"/>
  <c r="Y563" i="3"/>
  <c r="T565" i="3"/>
  <c r="E565" i="3" l="1"/>
  <c r="H565" i="3" s="1"/>
  <c r="K565" i="3" s="1"/>
  <c r="AE565" i="3" s="1"/>
  <c r="D565" i="3"/>
  <c r="AG565" i="3"/>
  <c r="AH565" i="3"/>
  <c r="V565" i="3" l="1"/>
  <c r="A566" i="3"/>
  <c r="B566" i="3" s="1"/>
  <c r="F565" i="3"/>
  <c r="G565" i="3"/>
  <c r="I565" i="3" l="1"/>
  <c r="W565" i="3" s="1"/>
  <c r="J565" i="3"/>
  <c r="M565" i="3"/>
  <c r="N565" i="3" s="1"/>
  <c r="AD566" i="3"/>
  <c r="Z566" i="3"/>
  <c r="AA566" i="3"/>
  <c r="P566" i="3"/>
  <c r="Q566" i="3" s="1"/>
  <c r="R566" i="3" s="1"/>
  <c r="S566" i="3" s="1"/>
  <c r="AC566" i="3"/>
  <c r="L565" i="3" l="1"/>
  <c r="T566" i="3"/>
  <c r="AG566" i="3" l="1"/>
  <c r="AH566" i="3"/>
  <c r="U565" i="3"/>
  <c r="D566" i="3" s="1"/>
  <c r="Y564" i="3"/>
  <c r="G566" i="3" l="1"/>
  <c r="E566" i="3"/>
  <c r="H566" i="3" s="1"/>
  <c r="F566" i="3" l="1"/>
  <c r="I566" i="3"/>
  <c r="J566" i="3"/>
  <c r="M566" i="3"/>
  <c r="N566" i="3" s="1"/>
  <c r="K566" i="3"/>
  <c r="AE566" i="3" s="1"/>
  <c r="V566" i="3" l="1"/>
  <c r="W566" i="3" s="1"/>
  <c r="A567" i="3"/>
  <c r="B567" i="3" s="1"/>
  <c r="L566" i="3"/>
  <c r="U566" i="3" l="1"/>
  <c r="Y565" i="3"/>
  <c r="P567" i="3"/>
  <c r="Q567" i="3" s="1"/>
  <c r="R567" i="3" s="1"/>
  <c r="S567" i="3" s="1"/>
  <c r="AA567" i="3"/>
  <c r="AD567" i="3"/>
  <c r="Z567" i="3"/>
  <c r="AC567" i="3"/>
  <c r="T567" i="3" l="1"/>
  <c r="AG567" i="3" s="1"/>
  <c r="AH567" i="3" l="1"/>
  <c r="E567" i="3"/>
  <c r="H567" i="3" s="1"/>
  <c r="K567" i="3" s="1"/>
  <c r="AE567" i="3" s="1"/>
  <c r="D567" i="3"/>
  <c r="G567" i="3" s="1"/>
  <c r="F567" i="3" l="1"/>
  <c r="I567" i="3"/>
  <c r="J567" i="3"/>
  <c r="M567" i="3"/>
  <c r="N567" i="3" s="1"/>
  <c r="V567" i="3"/>
  <c r="A568" i="3"/>
  <c r="B568" i="3" s="1"/>
  <c r="W567" i="3" l="1"/>
  <c r="L567" i="3"/>
  <c r="AC568" i="3"/>
  <c r="AD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M568" i="3"/>
  <c r="N568" i="3" s="1"/>
  <c r="L568" i="3" l="1"/>
  <c r="W568" i="3"/>
  <c r="AA569" i="3"/>
  <c r="AD569" i="3"/>
  <c r="P569" i="3"/>
  <c r="Q569" i="3" s="1"/>
  <c r="R569" i="3" s="1"/>
  <c r="S569" i="3" s="1"/>
  <c r="AC569" i="3"/>
  <c r="Z569" i="3"/>
  <c r="T569" i="3" l="1"/>
  <c r="AH569" i="3" s="1"/>
  <c r="U568" i="3"/>
  <c r="Y567" i="3"/>
  <c r="D569" i="3" l="1"/>
  <c r="G569" i="3" s="1"/>
  <c r="AG569" i="3"/>
  <c r="E569" i="3"/>
  <c r="H569" i="3" s="1"/>
  <c r="F569" i="3" l="1"/>
  <c r="I569" i="3"/>
  <c r="J569" i="3"/>
  <c r="M569" i="3"/>
  <c r="N569" i="3" s="1"/>
  <c r="K569" i="3"/>
  <c r="AE569" i="3" s="1"/>
  <c r="L569" i="3" l="1"/>
  <c r="V569" i="3"/>
  <c r="W569" i="3" s="1"/>
  <c r="A570" i="3"/>
  <c r="B570" i="3" s="1"/>
  <c r="AC570" i="3" l="1"/>
  <c r="P570" i="3"/>
  <c r="Q570" i="3" s="1"/>
  <c r="R570" i="3" s="1"/>
  <c r="S570" i="3" s="1"/>
  <c r="AD570" i="3"/>
  <c r="Z570" i="3"/>
  <c r="AA570" i="3"/>
  <c r="U569" i="3"/>
  <c r="Y568" i="3"/>
  <c r="T570" i="3" l="1"/>
  <c r="D570" i="3" l="1"/>
  <c r="E570" i="3"/>
  <c r="H570" i="3" s="1"/>
  <c r="AG570" i="3"/>
  <c r="AH570" i="3"/>
  <c r="F570" i="3" l="1"/>
  <c r="G570" i="3"/>
  <c r="K570" i="3"/>
  <c r="AE570" i="3" s="1"/>
  <c r="V570" i="3" l="1"/>
  <c r="A571" i="3"/>
  <c r="B571" i="3" s="1"/>
  <c r="I570" i="3"/>
  <c r="J570" i="3"/>
  <c r="M570" i="3"/>
  <c r="N570" i="3" s="1"/>
  <c r="W570" i="3" l="1"/>
  <c r="L570" i="3"/>
  <c r="P571" i="3"/>
  <c r="Q571" i="3" s="1"/>
  <c r="R571" i="3" s="1"/>
  <c r="S571" i="3" s="1"/>
  <c r="AD571" i="3"/>
  <c r="AA571" i="3"/>
  <c r="Z571" i="3"/>
  <c r="AC571" i="3"/>
  <c r="U570" i="3" l="1"/>
  <c r="Y569" i="3"/>
  <c r="T571" i="3"/>
  <c r="D571" i="3" l="1"/>
  <c r="G571" i="3" s="1"/>
  <c r="AG571" i="3"/>
  <c r="AH571" i="3"/>
  <c r="E571" i="3"/>
  <c r="H571" i="3" s="1"/>
  <c r="K571" i="3" s="1"/>
  <c r="AE571" i="3" s="1"/>
  <c r="F571" i="3" l="1"/>
  <c r="V571" i="3"/>
  <c r="A572" i="3"/>
  <c r="B572" i="3" s="1"/>
  <c r="I571" i="3"/>
  <c r="J571" i="3"/>
  <c r="M571" i="3"/>
  <c r="N571" i="3" s="1"/>
  <c r="W571" i="3" l="1"/>
  <c r="L571" i="3"/>
  <c r="AC572" i="3"/>
  <c r="AD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M572" i="3"/>
  <c r="N572" i="3" s="1"/>
  <c r="W572" i="3" l="1"/>
  <c r="L572" i="3"/>
  <c r="P573" i="3"/>
  <c r="Q573" i="3" s="1"/>
  <c r="R573" i="3" s="1"/>
  <c r="S573" i="3" s="1"/>
  <c r="Z573" i="3"/>
  <c r="AC573" i="3"/>
  <c r="AA573" i="3"/>
  <c r="AD573" i="3"/>
  <c r="U572" i="3" l="1"/>
  <c r="Y571" i="3"/>
  <c r="T573" i="3"/>
  <c r="E573" i="3" l="1"/>
  <c r="H573" i="3" s="1"/>
  <c r="K573" i="3" s="1"/>
  <c r="AE573" i="3" s="1"/>
  <c r="D573" i="3"/>
  <c r="AH573" i="3"/>
  <c r="AG573" i="3"/>
  <c r="F573" i="3" l="1"/>
  <c r="G573" i="3"/>
  <c r="I573" i="3" s="1"/>
  <c r="V573" i="3"/>
  <c r="A574" i="3"/>
  <c r="B574" i="3" s="1"/>
  <c r="J573" i="3" l="1"/>
  <c r="L573" i="3" s="1"/>
  <c r="M573" i="3"/>
  <c r="N573" i="3" s="1"/>
  <c r="W573" i="3"/>
  <c r="AA574" i="3"/>
  <c r="Z574" i="3"/>
  <c r="P574" i="3"/>
  <c r="Q574" i="3" s="1"/>
  <c r="R574" i="3" s="1"/>
  <c r="S574" i="3" s="1"/>
  <c r="AC574" i="3"/>
  <c r="U573" i="3" l="1"/>
  <c r="Y572" i="3"/>
  <c r="T574" i="3"/>
  <c r="AH574" i="3" s="1"/>
  <c r="D574" i="3" l="1"/>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AD575" i="3"/>
  <c r="T575" i="3" l="1"/>
  <c r="AH575" i="3" s="1"/>
  <c r="AG575" i="3" l="1"/>
  <c r="E575" i="3"/>
  <c r="H575" i="3" s="1"/>
  <c r="D575" i="3"/>
  <c r="K575" i="3" l="1"/>
  <c r="AE575" i="3" s="1"/>
  <c r="F575" i="3"/>
  <c r="G575" i="3"/>
  <c r="V575" i="3" l="1"/>
  <c r="A576" i="3"/>
  <c r="B576" i="3" s="1"/>
  <c r="I575" i="3"/>
  <c r="J575" i="3"/>
  <c r="M575" i="3"/>
  <c r="N575" i="3" s="1"/>
  <c r="W575" i="3" l="1"/>
  <c r="L575" i="3"/>
  <c r="AA576" i="3"/>
  <c r="P576" i="3"/>
  <c r="Q576" i="3" s="1"/>
  <c r="R576" i="3" s="1"/>
  <c r="S576" i="3" s="1"/>
  <c r="AD576" i="3"/>
  <c r="Z576" i="3"/>
  <c r="AC576" i="3"/>
  <c r="U575" i="3" l="1"/>
  <c r="Y574" i="3"/>
  <c r="T576" i="3"/>
  <c r="E576" i="3" l="1"/>
  <c r="H576" i="3" s="1"/>
  <c r="K576" i="3" s="1"/>
  <c r="AE576" i="3" s="1"/>
  <c r="AH576" i="3"/>
  <c r="D576" i="3"/>
  <c r="G576" i="3" s="1"/>
  <c r="AG576" i="3"/>
  <c r="F576" i="3" l="1"/>
  <c r="V576" i="3"/>
  <c r="A577" i="3"/>
  <c r="B577" i="3" s="1"/>
  <c r="I576" i="3"/>
  <c r="J576" i="3"/>
  <c r="M576" i="3"/>
  <c r="N576" i="3" s="1"/>
  <c r="W576" i="3" l="1"/>
  <c r="L576" i="3"/>
  <c r="P577" i="3"/>
  <c r="Q577" i="3" s="1"/>
  <c r="R577" i="3" s="1"/>
  <c r="S577" i="3" s="1"/>
  <c r="AD577" i="3"/>
  <c r="AC577" i="3"/>
  <c r="AA577" i="3"/>
  <c r="Z577" i="3"/>
  <c r="U576" i="3" l="1"/>
  <c r="Y575" i="3"/>
  <c r="T577" i="3"/>
  <c r="AH577" i="3" s="1"/>
  <c r="E577" i="3" l="1"/>
  <c r="H577" i="3" s="1"/>
  <c r="K577" i="3" s="1"/>
  <c r="AE577" i="3" s="1"/>
  <c r="AG577" i="3"/>
  <c r="D577" i="3"/>
  <c r="F577" i="3" l="1"/>
  <c r="G577" i="3"/>
  <c r="J577" i="3" s="1"/>
  <c r="V577" i="3"/>
  <c r="A578" i="3"/>
  <c r="B578" i="3" s="1"/>
  <c r="M577" i="3" l="1"/>
  <c r="N577" i="3" s="1"/>
  <c r="I577" i="3"/>
  <c r="W577" i="3" s="1"/>
  <c r="L577" i="3"/>
  <c r="AC578" i="3"/>
  <c r="AD578" i="3"/>
  <c r="P578" i="3"/>
  <c r="Q578" i="3" s="1"/>
  <c r="R578" i="3" s="1"/>
  <c r="S578" i="3" s="1"/>
  <c r="Z578" i="3"/>
  <c r="AA578" i="3"/>
  <c r="U577" i="3" l="1"/>
  <c r="Y576" i="3"/>
  <c r="T578" i="3"/>
  <c r="AG578" i="3" s="1"/>
  <c r="D578" i="3" l="1"/>
  <c r="G578" i="3" s="1"/>
  <c r="AH578" i="3"/>
  <c r="E578" i="3"/>
  <c r="H578" i="3" s="1"/>
  <c r="K578" i="3" s="1"/>
  <c r="AE578" i="3" s="1"/>
  <c r="F578" i="3" l="1"/>
  <c r="I578" i="3"/>
  <c r="J578" i="3"/>
  <c r="M578" i="3"/>
  <c r="N578" i="3" s="1"/>
  <c r="V578" i="3"/>
  <c r="A579" i="3"/>
  <c r="B579" i="3" s="1"/>
  <c r="W578" i="3" l="1"/>
  <c r="L578" i="3"/>
  <c r="AC579" i="3"/>
  <c r="Z579" i="3"/>
  <c r="P579" i="3"/>
  <c r="Q579" i="3" s="1"/>
  <c r="R579" i="3" s="1"/>
  <c r="S579" i="3" s="1"/>
  <c r="AD579" i="3"/>
  <c r="AA579" i="3"/>
  <c r="U578" i="3" l="1"/>
  <c r="Y577" i="3"/>
  <c r="T579" i="3"/>
  <c r="AG579" i="3" s="1"/>
  <c r="E579" i="3" l="1"/>
  <c r="H579" i="3" s="1"/>
  <c r="K579" i="3" s="1"/>
  <c r="AE579" i="3" s="1"/>
  <c r="AH579" i="3"/>
  <c r="D579" i="3"/>
  <c r="F579" i="3" l="1"/>
  <c r="G579" i="3"/>
  <c r="M579" i="3" s="1"/>
  <c r="N579" i="3" s="1"/>
  <c r="V579" i="3"/>
  <c r="A580" i="3"/>
  <c r="B580" i="3" s="1"/>
  <c r="I579" i="3" l="1"/>
  <c r="W579" i="3" s="1"/>
  <c r="J579" i="3"/>
  <c r="L579" i="3" s="1"/>
  <c r="AD580" i="3"/>
  <c r="P580" i="3"/>
  <c r="Q580" i="3" s="1"/>
  <c r="R580" i="3" s="1"/>
  <c r="S580" i="3" s="1"/>
  <c r="AA580" i="3"/>
  <c r="AC580" i="3"/>
  <c r="Z580" i="3"/>
  <c r="U579" i="3" l="1"/>
  <c r="Y578" i="3"/>
  <c r="T580" i="3"/>
  <c r="AH580" i="3" s="1"/>
  <c r="E580" i="3" l="1"/>
  <c r="H580" i="3" s="1"/>
  <c r="D580" i="3"/>
  <c r="AG580" i="3"/>
  <c r="K580" i="3" l="1"/>
  <c r="AE580" i="3" s="1"/>
  <c r="F580" i="3"/>
  <c r="G580" i="3"/>
  <c r="I580" i="3" l="1"/>
  <c r="J580" i="3"/>
  <c r="M580" i="3"/>
  <c r="N580" i="3" s="1"/>
  <c r="V580" i="3"/>
  <c r="A581" i="3"/>
  <c r="B581" i="3" s="1"/>
  <c r="W580" i="3" l="1"/>
  <c r="P581" i="3"/>
  <c r="Q581" i="3" s="1"/>
  <c r="R581" i="3" s="1"/>
  <c r="S581" i="3" s="1"/>
  <c r="Z581" i="3"/>
  <c r="AA581" i="3"/>
  <c r="AC581" i="3"/>
  <c r="AD581" i="3"/>
  <c r="L580" i="3"/>
  <c r="T581" i="3" l="1"/>
  <c r="AH581" i="3" s="1"/>
  <c r="U580" i="3"/>
  <c r="Y579" i="3"/>
  <c r="D581" i="3" l="1"/>
  <c r="G581" i="3" s="1"/>
  <c r="AG581" i="3"/>
  <c r="E581" i="3"/>
  <c r="H581" i="3" s="1"/>
  <c r="I581" i="3" l="1"/>
  <c r="J581" i="3"/>
  <c r="M581" i="3"/>
  <c r="N581" i="3" s="1"/>
  <c r="F581" i="3"/>
  <c r="K581" i="3"/>
  <c r="AE581" i="3" s="1"/>
  <c r="L581" i="3" l="1"/>
  <c r="V581" i="3"/>
  <c r="W581" i="3" s="1"/>
  <c r="A582" i="3"/>
  <c r="B582" i="3" s="1"/>
  <c r="P582" i="3" l="1"/>
  <c r="Q582" i="3" s="1"/>
  <c r="R582" i="3" s="1"/>
  <c r="S582" i="3" s="1"/>
  <c r="Z582" i="3"/>
  <c r="AD582" i="3"/>
  <c r="AC582" i="3"/>
  <c r="AA582" i="3"/>
  <c r="U581" i="3"/>
  <c r="Y580" i="3"/>
  <c r="T582" i="3" l="1"/>
  <c r="AH582" i="3" s="1"/>
  <c r="E582" i="3" l="1"/>
  <c r="H582" i="3" s="1"/>
  <c r="K582" i="3" s="1"/>
  <c r="AE582" i="3" s="1"/>
  <c r="AG582" i="3"/>
  <c r="D582" i="3"/>
  <c r="V582" i="3" l="1"/>
  <c r="A583" i="3"/>
  <c r="B583" i="3" s="1"/>
  <c r="F582" i="3"/>
  <c r="G582" i="3"/>
  <c r="I582" i="3" l="1"/>
  <c r="W582" i="3" s="1"/>
  <c r="J582" i="3"/>
  <c r="M582" i="3"/>
  <c r="N582" i="3" s="1"/>
  <c r="AD583" i="3"/>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AD587" i="3"/>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M587" i="3"/>
  <c r="N587" i="3" s="1"/>
  <c r="L587" i="3" l="1"/>
  <c r="V587" i="3"/>
  <c r="W587" i="3" s="1"/>
  <c r="A588" i="3"/>
  <c r="B588" i="3" s="1"/>
  <c r="U587" i="3" l="1"/>
  <c r="Y586" i="3"/>
  <c r="P588" i="3"/>
  <c r="Q588" i="3" s="1"/>
  <c r="R588" i="3" s="1"/>
  <c r="S588" i="3" s="1"/>
  <c r="AD588" i="3"/>
  <c r="Z588" i="3"/>
  <c r="AC588" i="3"/>
  <c r="AA588" i="3"/>
  <c r="T588" i="3" l="1"/>
  <c r="AH588" i="3" s="1"/>
  <c r="E588" i="3" l="1"/>
  <c r="H588" i="3" s="1"/>
  <c r="K588" i="3" s="1"/>
  <c r="AE588" i="3" s="1"/>
  <c r="AG588" i="3"/>
  <c r="D588" i="3"/>
  <c r="G588" i="3" s="1"/>
  <c r="F588" i="3" l="1"/>
  <c r="I588" i="3"/>
  <c r="J588" i="3"/>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AD595" i="3"/>
  <c r="T595" i="3" l="1"/>
  <c r="L594" i="3"/>
  <c r="AH595" i="3" l="1"/>
  <c r="U594" i="3"/>
  <c r="E595" i="3" s="1"/>
  <c r="H595" i="3" s="1"/>
  <c r="AG595" i="3"/>
  <c r="Y593" i="3"/>
  <c r="D595" i="3" l="1"/>
  <c r="G595" i="3" s="1"/>
  <c r="K595" i="3"/>
  <c r="AE595" i="3" s="1"/>
  <c r="F595" i="3" l="1"/>
  <c r="V595" i="3"/>
  <c r="A596" i="3"/>
  <c r="B596" i="3" s="1"/>
  <c r="I595" i="3"/>
  <c r="J595" i="3"/>
  <c r="M595" i="3"/>
  <c r="N595" i="3" s="1"/>
  <c r="W595" i="3" l="1"/>
  <c r="L595" i="3"/>
  <c r="P596" i="3"/>
  <c r="Q596" i="3" s="1"/>
  <c r="R596" i="3" s="1"/>
  <c r="S596" i="3" s="1"/>
  <c r="AA596" i="3"/>
  <c r="AC596" i="3"/>
  <c r="AD596" i="3"/>
  <c r="Z596" i="3"/>
  <c r="T596" i="3" l="1"/>
  <c r="AG596" i="3" s="1"/>
  <c r="U595" i="3"/>
  <c r="Y594" i="3"/>
  <c r="D596" i="3" l="1"/>
  <c r="E596" i="3"/>
  <c r="H596" i="3" s="1"/>
  <c r="AH596" i="3"/>
  <c r="F596" i="3" l="1"/>
  <c r="G596" i="3"/>
  <c r="K596" i="3"/>
  <c r="AE596" i="3" s="1"/>
  <c r="V596" i="3" l="1"/>
  <c r="A597" i="3"/>
  <c r="B597" i="3" s="1"/>
  <c r="I596" i="3"/>
  <c r="J596" i="3"/>
  <c r="M596" i="3"/>
  <c r="N596" i="3" s="1"/>
  <c r="W596" i="3" l="1"/>
  <c r="L596" i="3"/>
  <c r="Z597" i="3"/>
  <c r="P597" i="3"/>
  <c r="Q597" i="3" s="1"/>
  <c r="R597" i="3" s="1"/>
  <c r="S597" i="3" s="1"/>
  <c r="AA597" i="3"/>
  <c r="AC597" i="3"/>
  <c r="AD597" i="3"/>
  <c r="U596" i="3" l="1"/>
  <c r="Y595" i="3"/>
  <c r="T597" i="3"/>
  <c r="E597" i="3" l="1"/>
  <c r="H597" i="3" s="1"/>
  <c r="K597" i="3" s="1"/>
  <c r="AE597" i="3" s="1"/>
  <c r="AH597" i="3"/>
  <c r="AG597" i="3"/>
  <c r="D597" i="3"/>
  <c r="G597" i="3" s="1"/>
  <c r="F597" i="3" l="1"/>
  <c r="I597" i="3"/>
  <c r="J597" i="3"/>
  <c r="M597" i="3"/>
  <c r="N597" i="3" s="1"/>
  <c r="V597" i="3"/>
  <c r="A598" i="3"/>
  <c r="B598" i="3" s="1"/>
  <c r="W597" i="3" l="1"/>
  <c r="L597" i="3"/>
  <c r="AC598" i="3"/>
  <c r="P598" i="3"/>
  <c r="Q598" i="3" s="1"/>
  <c r="R598" i="3" s="1"/>
  <c r="S598" i="3" s="1"/>
  <c r="Z598" i="3"/>
  <c r="AA598" i="3"/>
  <c r="AD598" i="3"/>
  <c r="U597" i="3" l="1"/>
  <c r="Y596" i="3"/>
  <c r="T598" i="3"/>
  <c r="AG598" i="3" s="1"/>
  <c r="AH598" i="3" l="1"/>
  <c r="E598" i="3"/>
  <c r="H598" i="3" s="1"/>
  <c r="K598" i="3" s="1"/>
  <c r="AE598" i="3" s="1"/>
  <c r="D598" i="3"/>
  <c r="V598" i="3" l="1"/>
  <c r="A599" i="3"/>
  <c r="B599" i="3" s="1"/>
  <c r="F598" i="3"/>
  <c r="G598" i="3"/>
  <c r="I598" i="3" l="1"/>
  <c r="W598" i="3" s="1"/>
  <c r="J598" i="3"/>
  <c r="M598" i="3"/>
  <c r="N598" i="3" s="1"/>
  <c r="AC599" i="3"/>
  <c r="AA599" i="3"/>
  <c r="P599" i="3"/>
  <c r="Q599" i="3" s="1"/>
  <c r="R599" i="3" s="1"/>
  <c r="S599" i="3" s="1"/>
  <c r="AD599" i="3"/>
  <c r="Z599" i="3"/>
  <c r="T599" i="3" l="1"/>
  <c r="L598" i="3"/>
  <c r="U598" i="3" l="1"/>
  <c r="D599" i="3" s="1"/>
  <c r="AG599" i="3"/>
  <c r="AH599" i="3"/>
  <c r="Y597" i="3"/>
  <c r="G599" i="3" l="1"/>
  <c r="E599" i="3"/>
  <c r="H599" i="3" s="1"/>
  <c r="I599" i="3" l="1"/>
  <c r="J599" i="3"/>
  <c r="M599" i="3"/>
  <c r="N599" i="3" s="1"/>
  <c r="K599" i="3"/>
  <c r="AE599" i="3" s="1"/>
  <c r="F599" i="3"/>
  <c r="V599" i="3" l="1"/>
  <c r="W599" i="3" s="1"/>
  <c r="A600" i="3"/>
  <c r="B600" i="3" s="1"/>
  <c r="L599" i="3"/>
  <c r="U599" i="3" l="1"/>
  <c r="Y598" i="3"/>
  <c r="AC600" i="3"/>
  <c r="P600" i="3"/>
  <c r="Q600" i="3" s="1"/>
  <c r="R600" i="3" s="1"/>
  <c r="S600" i="3" s="1"/>
  <c r="Z600" i="3"/>
  <c r="AA600" i="3"/>
  <c r="AD600" i="3"/>
  <c r="T600" i="3" l="1"/>
  <c r="E600" i="3" s="1"/>
  <c r="H600" i="3" s="1"/>
  <c r="AH600" i="3" l="1"/>
  <c r="K600" i="3"/>
  <c r="AE600" i="3" s="1"/>
  <c r="AG600" i="3"/>
  <c r="D600" i="3"/>
  <c r="V600" i="3" l="1"/>
  <c r="A601" i="3"/>
  <c r="B601" i="3" s="1"/>
  <c r="F600" i="3"/>
  <c r="G600" i="3"/>
  <c r="I600" i="3" l="1"/>
  <c r="W600" i="3" s="1"/>
  <c r="J600" i="3"/>
  <c r="M600" i="3"/>
  <c r="N600" i="3" s="1"/>
  <c r="P601" i="3"/>
  <c r="Q601" i="3" s="1"/>
  <c r="R601" i="3" s="1"/>
  <c r="S601" i="3" s="1"/>
  <c r="AA601" i="3"/>
  <c r="AC601" i="3"/>
  <c r="Z601" i="3"/>
  <c r="AD601" i="3"/>
  <c r="T601" i="3" l="1"/>
  <c r="L600" i="3"/>
  <c r="AH601" i="3" l="1"/>
  <c r="U600" i="3"/>
  <c r="D601" i="3" s="1"/>
  <c r="AG601" i="3"/>
  <c r="Y599" i="3"/>
  <c r="E601" i="3" l="1"/>
  <c r="H601" i="3" s="1"/>
  <c r="K601" i="3" s="1"/>
  <c r="AE601" i="3" s="1"/>
  <c r="G601" i="3"/>
  <c r="F601" i="3" l="1"/>
  <c r="I601" i="3"/>
  <c r="J601" i="3"/>
  <c r="M601" i="3"/>
  <c r="N601" i="3" s="1"/>
  <c r="V601" i="3"/>
  <c r="A602" i="3"/>
  <c r="B602" i="3" s="1"/>
  <c r="W601" i="3" l="1"/>
  <c r="L601" i="3"/>
  <c r="P602" i="3"/>
  <c r="Q602" i="3" s="1"/>
  <c r="R602" i="3" s="1"/>
  <c r="S602" i="3" s="1"/>
  <c r="Z602" i="3"/>
  <c r="AC602" i="3"/>
  <c r="AD602" i="3"/>
  <c r="AA602" i="3"/>
  <c r="U601" i="3" l="1"/>
  <c r="Y600" i="3"/>
  <c r="T602" i="3"/>
  <c r="AG602" i="3" s="1"/>
  <c r="D602" i="3" l="1"/>
  <c r="E602" i="3"/>
  <c r="H602" i="3" s="1"/>
  <c r="AH602" i="3"/>
  <c r="K602" i="3" l="1"/>
  <c r="AE602" i="3" s="1"/>
  <c r="F602" i="3"/>
  <c r="G602" i="3"/>
  <c r="I602" i="3" l="1"/>
  <c r="J602" i="3"/>
  <c r="M602" i="3"/>
  <c r="N602" i="3" s="1"/>
  <c r="V602" i="3"/>
  <c r="A603" i="3"/>
  <c r="B603" i="3" s="1"/>
  <c r="W602" i="3" l="1"/>
  <c r="L602" i="3"/>
  <c r="AA603" i="3"/>
  <c r="AC603" i="3"/>
  <c r="AD603" i="3"/>
  <c r="Z603" i="3"/>
  <c r="P603" i="3"/>
  <c r="Q603" i="3" s="1"/>
  <c r="R603" i="3" s="1"/>
  <c r="S603" i="3" s="1"/>
  <c r="U602" i="3" l="1"/>
  <c r="Y601" i="3"/>
  <c r="T603" i="3"/>
  <c r="AG603" i="3" s="1"/>
  <c r="AH603" i="3" l="1"/>
  <c r="D603" i="3"/>
  <c r="G603" i="3" s="1"/>
  <c r="E603" i="3"/>
  <c r="H603" i="3" s="1"/>
  <c r="K603" i="3" s="1"/>
  <c r="AE603" i="3" s="1"/>
  <c r="F603" i="3" l="1"/>
  <c r="I603" i="3"/>
  <c r="J603" i="3"/>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D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M607" i="3"/>
  <c r="N607" i="3" s="1"/>
  <c r="AD608" i="3"/>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AD617" i="3"/>
  <c r="P617" i="3"/>
  <c r="Q617" i="3" s="1"/>
  <c r="R617" i="3" s="1"/>
  <c r="S617" i="3" s="1"/>
  <c r="AA617" i="3"/>
  <c r="U616" i="3" l="1"/>
  <c r="Y615" i="3"/>
  <c r="T617" i="3"/>
  <c r="AG617" i="3" s="1"/>
  <c r="D617" i="3" l="1"/>
  <c r="G617" i="3" s="1"/>
  <c r="E617" i="3"/>
  <c r="H617" i="3" s="1"/>
  <c r="K617" i="3" s="1"/>
  <c r="AE617" i="3" s="1"/>
  <c r="AH617" i="3"/>
  <c r="F617" i="3" l="1"/>
  <c r="I617" i="3"/>
  <c r="J617" i="3"/>
  <c r="M617" i="3"/>
  <c r="N617" i="3" s="1"/>
  <c r="V617" i="3"/>
  <c r="A618" i="3"/>
  <c r="B618" i="3" s="1"/>
  <c r="W617" i="3" l="1"/>
  <c r="L617" i="3"/>
  <c r="P618" i="3"/>
  <c r="Q618" i="3" s="1"/>
  <c r="R618" i="3" s="1"/>
  <c r="S618" i="3" s="1"/>
  <c r="AD618" i="3"/>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AD627" i="3"/>
  <c r="P627" i="3"/>
  <c r="Q627" i="3" s="1"/>
  <c r="R627" i="3" s="1"/>
  <c r="S627" i="3" s="1"/>
  <c r="AC627" i="3"/>
  <c r="AA627" i="3"/>
  <c r="L626" i="3" l="1"/>
  <c r="T627" i="3"/>
  <c r="AG627" i="3" l="1"/>
  <c r="U626" i="3"/>
  <c r="D627" i="3" s="1"/>
  <c r="AH627" i="3"/>
  <c r="Y625" i="3"/>
  <c r="G627" i="3" l="1"/>
  <c r="E627" i="3"/>
  <c r="H627" i="3" s="1"/>
  <c r="K627" i="3" l="1"/>
  <c r="AE627" i="3" s="1"/>
  <c r="I627" i="3"/>
  <c r="J627" i="3"/>
  <c r="M627" i="3"/>
  <c r="N627" i="3" s="1"/>
  <c r="F627" i="3"/>
  <c r="L627" i="3" l="1"/>
  <c r="V627" i="3"/>
  <c r="W627" i="3" s="1"/>
  <c r="A628" i="3"/>
  <c r="B628" i="3" s="1"/>
  <c r="Z628" i="3" l="1"/>
  <c r="AA628" i="3"/>
  <c r="P628" i="3"/>
  <c r="Q628" i="3" s="1"/>
  <c r="R628" i="3" s="1"/>
  <c r="S628" i="3" s="1"/>
  <c r="AC628" i="3"/>
  <c r="AD628" i="3"/>
  <c r="U627" i="3"/>
  <c r="Y626" i="3"/>
  <c r="T628" i="3" l="1"/>
  <c r="D628" i="3" l="1"/>
  <c r="E628" i="3"/>
  <c r="H628" i="3" s="1"/>
  <c r="AG628" i="3"/>
  <c r="AH628" i="3"/>
  <c r="F628" i="3" l="1"/>
  <c r="G628" i="3"/>
  <c r="K628" i="3"/>
  <c r="AE628" i="3" s="1"/>
  <c r="I628" i="3" l="1"/>
  <c r="J628" i="3"/>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D637" i="3"/>
  <c r="AA637" i="3"/>
  <c r="U636" i="3" l="1"/>
  <c r="Y635" i="3"/>
  <c r="T637" i="3"/>
  <c r="AG637" i="3" s="1"/>
  <c r="D637" i="3" l="1"/>
  <c r="AH637" i="3"/>
  <c r="E637" i="3"/>
  <c r="H637" i="3" s="1"/>
  <c r="F637" i="3" l="1"/>
  <c r="G637" i="3"/>
  <c r="K637" i="3"/>
  <c r="AE637" i="3" s="1"/>
  <c r="I637" i="3" l="1"/>
  <c r="J637" i="3"/>
  <c r="M637" i="3"/>
  <c r="N637" i="3" s="1"/>
  <c r="V637" i="3"/>
  <c r="A638" i="3"/>
  <c r="B638" i="3" s="1"/>
  <c r="W637" i="3" l="1"/>
  <c r="L637" i="3"/>
  <c r="P638" i="3"/>
  <c r="Q638" i="3" s="1"/>
  <c r="R638" i="3" s="1"/>
  <c r="S638" i="3" s="1"/>
  <c r="AD638" i="3"/>
  <c r="AC638" i="3"/>
  <c r="AA638" i="3"/>
  <c r="Z638" i="3"/>
  <c r="T638" i="3" l="1"/>
  <c r="AG638" i="3" s="1"/>
  <c r="U637" i="3"/>
  <c r="Y636" i="3"/>
  <c r="D638" i="3" l="1"/>
  <c r="G638" i="3" s="1"/>
  <c r="E638" i="3"/>
  <c r="H638" i="3" s="1"/>
  <c r="AH638" i="3"/>
  <c r="F638" i="3" l="1"/>
  <c r="I638" i="3"/>
  <c r="J638" i="3"/>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AD647" i="3"/>
  <c r="Z647" i="3"/>
  <c r="U646" i="3" l="1"/>
  <c r="Y645" i="3"/>
  <c r="T647" i="3"/>
  <c r="AG647" i="3" s="1"/>
  <c r="E647" i="3" l="1"/>
  <c r="H647" i="3" s="1"/>
  <c r="D647" i="3"/>
  <c r="AH647" i="3"/>
  <c r="F647" i="3" l="1"/>
  <c r="G647" i="3"/>
  <c r="K647" i="3"/>
  <c r="AE647" i="3" s="1"/>
  <c r="V647" i="3" l="1"/>
  <c r="A648" i="3"/>
  <c r="B648" i="3" s="1"/>
  <c r="I647" i="3"/>
  <c r="J647" i="3"/>
  <c r="M647" i="3"/>
  <c r="N647" i="3" s="1"/>
  <c r="W647" i="3" l="1"/>
  <c r="L647" i="3"/>
  <c r="AC648" i="3"/>
  <c r="AA648" i="3"/>
  <c r="P648" i="3"/>
  <c r="Q648" i="3" s="1"/>
  <c r="R648" i="3" s="1"/>
  <c r="S648" i="3" s="1"/>
  <c r="Z648" i="3"/>
  <c r="AD648" i="3"/>
  <c r="T648" i="3" l="1"/>
  <c r="AH648" i="3" s="1"/>
  <c r="U647" i="3"/>
  <c r="Y646" i="3"/>
  <c r="D648" i="3" l="1"/>
  <c r="AG648" i="3"/>
  <c r="E648" i="3"/>
  <c r="H648" i="3" s="1"/>
  <c r="F648" i="3" l="1"/>
  <c r="G648" i="3"/>
  <c r="K648" i="3"/>
  <c r="AE648" i="3" s="1"/>
  <c r="I648" i="3" l="1"/>
  <c r="J648" i="3"/>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AD657" i="3"/>
  <c r="P657" i="3"/>
  <c r="Q657" i="3" s="1"/>
  <c r="R657" i="3" s="1"/>
  <c r="S657" i="3" s="1"/>
  <c r="AA657" i="3"/>
  <c r="Z657" i="3"/>
  <c r="L656" i="3" l="1"/>
  <c r="T657" i="3"/>
  <c r="AH657" i="3" l="1"/>
  <c r="U656" i="3"/>
  <c r="E657" i="3" s="1"/>
  <c r="H657" i="3" s="1"/>
  <c r="AG657" i="3"/>
  <c r="Y655" i="3"/>
  <c r="D657" i="3" l="1"/>
  <c r="G657" i="3" s="1"/>
  <c r="K657" i="3"/>
  <c r="AE657" i="3" s="1"/>
  <c r="F657" i="3" l="1"/>
  <c r="I657" i="3"/>
  <c r="J657" i="3"/>
  <c r="M657" i="3"/>
  <c r="N657" i="3" s="1"/>
  <c r="V657" i="3"/>
  <c r="A658" i="3"/>
  <c r="B658" i="3" s="1"/>
  <c r="W657" i="3" l="1"/>
  <c r="L657" i="3"/>
  <c r="AC658" i="3"/>
  <c r="Z658" i="3"/>
  <c r="AD658" i="3"/>
  <c r="AA658" i="3"/>
  <c r="P658" i="3"/>
  <c r="Q658" i="3" s="1"/>
  <c r="R658" i="3" s="1"/>
  <c r="S658" i="3" s="1"/>
  <c r="U657" i="3" l="1"/>
  <c r="Y656" i="3"/>
  <c r="T658" i="3"/>
  <c r="AG658" i="3" s="1"/>
  <c r="E658" i="3" l="1"/>
  <c r="H658" i="3" s="1"/>
  <c r="D658" i="3"/>
  <c r="AH658" i="3"/>
  <c r="K658" i="3" l="1"/>
  <c r="AE658" i="3" s="1"/>
  <c r="F658" i="3"/>
  <c r="G658" i="3"/>
  <c r="I658" i="3" l="1"/>
  <c r="J658" i="3"/>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D667" i="3"/>
  <c r="AA667" i="3"/>
  <c r="U666" i="3" l="1"/>
  <c r="Y665" i="3"/>
  <c r="T667" i="3"/>
  <c r="AG667" i="3" s="1"/>
  <c r="D667" i="3" l="1"/>
  <c r="E667" i="3"/>
  <c r="H667" i="3" s="1"/>
  <c r="AH667" i="3"/>
  <c r="F667" i="3" l="1"/>
  <c r="G667" i="3"/>
  <c r="K667" i="3"/>
  <c r="AE667" i="3" s="1"/>
  <c r="I667" i="3" l="1"/>
  <c r="J667" i="3"/>
  <c r="M667" i="3"/>
  <c r="N667" i="3" s="1"/>
  <c r="V667" i="3"/>
  <c r="A668" i="3"/>
  <c r="B668" i="3" s="1"/>
  <c r="W667" i="3" l="1"/>
  <c r="L667" i="3"/>
  <c r="Z668" i="3"/>
  <c r="P668" i="3"/>
  <c r="Q668" i="3" s="1"/>
  <c r="R668" i="3" s="1"/>
  <c r="S668" i="3" s="1"/>
  <c r="AD668" i="3"/>
  <c r="AC668" i="3"/>
  <c r="AA668" i="3"/>
  <c r="T668" i="3" l="1"/>
  <c r="AH668" i="3" s="1"/>
  <c r="U667" i="3"/>
  <c r="Y666" i="3"/>
  <c r="D668" i="3" l="1"/>
  <c r="G668" i="3" s="1"/>
  <c r="AG668" i="3"/>
  <c r="E668" i="3"/>
  <c r="H668" i="3" s="1"/>
  <c r="F668" i="3" l="1"/>
  <c r="I668" i="3"/>
  <c r="J668" i="3"/>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D675" i="3"/>
  <c r="AA675" i="3"/>
  <c r="AC675" i="3"/>
  <c r="Z675" i="3"/>
  <c r="U674" i="3" l="1"/>
  <c r="Y673" i="3"/>
  <c r="T675" i="3"/>
  <c r="AH675" i="3" s="1"/>
  <c r="AG675" i="3" l="1"/>
  <c r="D675" i="3"/>
  <c r="E675" i="3"/>
  <c r="H675" i="3" s="1"/>
  <c r="F675" i="3" l="1"/>
  <c r="G675" i="3"/>
  <c r="K675" i="3"/>
  <c r="AE675" i="3" s="1"/>
  <c r="I675" i="3" l="1"/>
  <c r="J675" i="3"/>
  <c r="M675" i="3"/>
  <c r="N675" i="3" s="1"/>
  <c r="V675" i="3"/>
  <c r="A676" i="3"/>
  <c r="B676" i="3" s="1"/>
  <c r="W675" i="3" l="1"/>
  <c r="L675" i="3"/>
  <c r="AD676" i="3"/>
  <c r="AC676" i="3"/>
  <c r="P676" i="3"/>
  <c r="Q676" i="3" s="1"/>
  <c r="R676" i="3" s="1"/>
  <c r="S676" i="3" s="1"/>
  <c r="Z676" i="3"/>
  <c r="AA676" i="3"/>
  <c r="T676" i="3" l="1"/>
  <c r="U675" i="3"/>
  <c r="Y674" i="3"/>
  <c r="E676" i="3" l="1"/>
  <c r="H676" i="3" s="1"/>
  <c r="K676" i="3" s="1"/>
  <c r="AE676" i="3" s="1"/>
  <c r="AH676" i="3"/>
  <c r="D676" i="3"/>
  <c r="G676" i="3" s="1"/>
  <c r="AG676" i="3"/>
  <c r="F676" i="3" l="1"/>
  <c r="I676" i="3"/>
  <c r="J676" i="3"/>
  <c r="M676" i="3"/>
  <c r="N676" i="3" s="1"/>
  <c r="V676" i="3"/>
  <c r="A677" i="3"/>
  <c r="B677" i="3" s="1"/>
  <c r="W676" i="3" l="1"/>
  <c r="L676" i="3"/>
  <c r="AA677" i="3"/>
  <c r="AC677" i="3"/>
  <c r="Z677" i="3"/>
  <c r="AD677" i="3"/>
  <c r="P677" i="3"/>
  <c r="Q677" i="3" s="1"/>
  <c r="R677" i="3" s="1"/>
  <c r="S677" i="3" s="1"/>
  <c r="U676" i="3" l="1"/>
  <c r="Y675" i="3"/>
  <c r="T677" i="3"/>
  <c r="AG677" i="3" s="1"/>
  <c r="D677" i="3" l="1"/>
  <c r="G677" i="3" s="1"/>
  <c r="AH677" i="3"/>
  <c r="E677" i="3"/>
  <c r="H677" i="3" s="1"/>
  <c r="F677" i="3" l="1"/>
  <c r="I677" i="3"/>
  <c r="J677" i="3"/>
  <c r="M677" i="3"/>
  <c r="N677" i="3" s="1"/>
  <c r="K677" i="3"/>
  <c r="AE677" i="3" s="1"/>
  <c r="V677" i="3" l="1"/>
  <c r="W677" i="3" s="1"/>
  <c r="A678" i="3"/>
  <c r="B678" i="3" s="1"/>
  <c r="L677" i="3"/>
  <c r="U677" i="3" l="1"/>
  <c r="Y676" i="3"/>
  <c r="AD678" i="3"/>
  <c r="P678" i="3"/>
  <c r="Q678" i="3" s="1"/>
  <c r="R678" i="3" s="1"/>
  <c r="S678" i="3" s="1"/>
  <c r="Z678" i="3"/>
  <c r="AC678" i="3"/>
  <c r="AA678" i="3"/>
  <c r="T678" i="3" l="1"/>
  <c r="AH678" i="3" s="1"/>
  <c r="E678" i="3" l="1"/>
  <c r="H678" i="3" s="1"/>
  <c r="K678" i="3" s="1"/>
  <c r="AE678" i="3" s="1"/>
  <c r="D678" i="3"/>
  <c r="AG678" i="3"/>
  <c r="F678" i="3" l="1"/>
  <c r="G678" i="3"/>
  <c r="J678" i="3" s="1"/>
  <c r="V678" i="3"/>
  <c r="A679" i="3"/>
  <c r="B679" i="3" s="1"/>
  <c r="M678" i="3" l="1"/>
  <c r="N678" i="3" s="1"/>
  <c r="I678" i="3"/>
  <c r="W678" i="3" s="1"/>
  <c r="L678" i="3"/>
  <c r="P679" i="3"/>
  <c r="Q679" i="3" s="1"/>
  <c r="R679" i="3" s="1"/>
  <c r="S679" i="3" s="1"/>
  <c r="AA679" i="3"/>
  <c r="Z679" i="3"/>
  <c r="AD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AD680" i="3"/>
  <c r="I679" i="3"/>
  <c r="W679" i="3" s="1"/>
  <c r="J679" i="3"/>
  <c r="M679" i="3"/>
  <c r="N679" i="3" s="1"/>
  <c r="L679" i="3" l="1"/>
  <c r="T680" i="3"/>
  <c r="AH680" i="3" l="1"/>
  <c r="U679" i="3"/>
  <c r="E680" i="3" s="1"/>
  <c r="H680" i="3" s="1"/>
  <c r="AG680" i="3"/>
  <c r="Y678" i="3"/>
  <c r="D680" i="3" l="1"/>
  <c r="G680" i="3" s="1"/>
  <c r="K680" i="3"/>
  <c r="AE680" i="3" s="1"/>
  <c r="F680" i="3" l="1"/>
  <c r="I680" i="3"/>
  <c r="J680" i="3"/>
  <c r="M680" i="3"/>
  <c r="N680" i="3" s="1"/>
  <c r="V680" i="3"/>
  <c r="A681" i="3"/>
  <c r="B681" i="3" s="1"/>
  <c r="W680" i="3" l="1"/>
  <c r="L680" i="3"/>
  <c r="AD681"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AD682" i="3" l="1"/>
  <c r="Z682" i="3"/>
  <c r="P682" i="3"/>
  <c r="Q682" i="3" s="1"/>
  <c r="R682" i="3" s="1"/>
  <c r="S682" i="3" s="1"/>
  <c r="AC682" i="3"/>
  <c r="AA682" i="3"/>
  <c r="I681" i="3"/>
  <c r="W681" i="3" s="1"/>
  <c r="J681" i="3"/>
  <c r="M681" i="3"/>
  <c r="N681" i="3" s="1"/>
  <c r="L681" i="3" l="1"/>
  <c r="T682" i="3"/>
  <c r="U681" i="3" l="1"/>
  <c r="E682" i="3" s="1"/>
  <c r="H682" i="3" s="1"/>
  <c r="AG682" i="3"/>
  <c r="AH682" i="3"/>
  <c r="Y680" i="3"/>
  <c r="D682" i="3" l="1"/>
  <c r="G682" i="3" s="1"/>
  <c r="K682" i="3"/>
  <c r="AE682" i="3" s="1"/>
  <c r="F682" i="3" l="1"/>
  <c r="V682" i="3"/>
  <c r="A683" i="3"/>
  <c r="B683" i="3" s="1"/>
  <c r="I682" i="3"/>
  <c r="J682" i="3"/>
  <c r="M682" i="3"/>
  <c r="N682" i="3" s="1"/>
  <c r="W682" i="3" l="1"/>
  <c r="L682" i="3"/>
  <c r="P683" i="3"/>
  <c r="Q683" i="3" s="1"/>
  <c r="R683" i="3" s="1"/>
  <c r="S683" i="3" s="1"/>
  <c r="AC683" i="3"/>
  <c r="AD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D687" i="3"/>
  <c r="AA687" i="3"/>
  <c r="AC687" i="3"/>
  <c r="U686" i="3" l="1"/>
  <c r="Y685" i="3"/>
  <c r="T687" i="3"/>
  <c r="AG687" i="3" s="1"/>
  <c r="AH687" i="3" l="1"/>
  <c r="D687" i="3"/>
  <c r="G687" i="3" s="1"/>
  <c r="E687" i="3"/>
  <c r="H687" i="3" s="1"/>
  <c r="K687" i="3" s="1"/>
  <c r="AE687" i="3" s="1"/>
  <c r="F687" i="3" l="1"/>
  <c r="I687" i="3"/>
  <c r="J687" i="3"/>
  <c r="M687" i="3"/>
  <c r="N687" i="3" s="1"/>
  <c r="V687" i="3"/>
  <c r="A688" i="3"/>
  <c r="B688" i="3" s="1"/>
  <c r="W687" i="3" l="1"/>
  <c r="L687" i="3"/>
  <c r="AC688" i="3"/>
  <c r="AA688" i="3"/>
  <c r="AD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AD695"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M695" i="3"/>
  <c r="N695" i="3" s="1"/>
  <c r="AD696" i="3"/>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M696" i="3"/>
  <c r="N696" i="3" s="1"/>
  <c r="W696" i="3" l="1"/>
  <c r="AD697" i="3"/>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L697" i="3" s="1"/>
  <c r="AD698" i="3"/>
  <c r="AA698" i="3"/>
  <c r="Z698" i="3"/>
  <c r="AC698" i="3"/>
  <c r="P698" i="3"/>
  <c r="Q698" i="3" s="1"/>
  <c r="R698" i="3" s="1"/>
  <c r="S698" i="3" s="1"/>
  <c r="U697" i="3" l="1"/>
  <c r="Y696" i="3"/>
  <c r="T698" i="3"/>
  <c r="AG698" i="3" s="1"/>
  <c r="E698" i="3" l="1"/>
  <c r="H698" i="3" s="1"/>
  <c r="K698" i="3" s="1"/>
  <c r="AE698" i="3" s="1"/>
  <c r="AH698" i="3"/>
  <c r="D698" i="3"/>
  <c r="F698" i="3" l="1"/>
  <c r="G698" i="3"/>
  <c r="J698" i="3" s="1"/>
  <c r="V698" i="3"/>
  <c r="A699" i="3"/>
  <c r="B699" i="3" s="1"/>
  <c r="M698" i="3" l="1"/>
  <c r="N698" i="3" s="1"/>
  <c r="I698" i="3"/>
  <c r="W698" i="3" s="1"/>
  <c r="L698" i="3"/>
  <c r="Z699" i="3"/>
  <c r="P699" i="3"/>
  <c r="Q699" i="3" s="1"/>
  <c r="R699" i="3" s="1"/>
  <c r="S699" i="3" s="1"/>
  <c r="AA699" i="3"/>
  <c r="AD699" i="3"/>
  <c r="AC699" i="3"/>
  <c r="T699" i="3" l="1"/>
  <c r="U698" i="3"/>
  <c r="Y697" i="3"/>
  <c r="D699" i="3" l="1"/>
  <c r="G699" i="3" s="1"/>
  <c r="AG699" i="3"/>
  <c r="AH699" i="3"/>
  <c r="E699" i="3"/>
  <c r="H699" i="3" s="1"/>
  <c r="K699" i="3" l="1"/>
  <c r="AE699" i="3" s="1"/>
  <c r="I699" i="3"/>
  <c r="J699" i="3"/>
  <c r="M699" i="3"/>
  <c r="N699" i="3" s="1"/>
  <c r="F699" i="3"/>
  <c r="L699" i="3" l="1"/>
  <c r="V699" i="3"/>
  <c r="W699" i="3" s="1"/>
  <c r="A700" i="3"/>
  <c r="B700" i="3" s="1"/>
  <c r="U699" i="3" l="1"/>
  <c r="Y698" i="3"/>
  <c r="Z700" i="3"/>
  <c r="P700" i="3"/>
  <c r="Q700" i="3" s="1"/>
  <c r="R700" i="3" s="1"/>
  <c r="S700" i="3" s="1"/>
  <c r="AD700" i="3"/>
  <c r="AC700" i="3"/>
  <c r="AA700" i="3"/>
  <c r="T700" i="3" l="1"/>
  <c r="D700" i="3" s="1"/>
  <c r="AH700" i="3" l="1"/>
  <c r="AG700" i="3"/>
  <c r="E700" i="3"/>
  <c r="H700" i="3" s="1"/>
  <c r="K700" i="3" s="1"/>
  <c r="AE700" i="3" s="1"/>
  <c r="G700" i="3"/>
  <c r="F700" i="3" l="1"/>
  <c r="I700" i="3"/>
  <c r="J700" i="3"/>
  <c r="M700" i="3"/>
  <c r="N700" i="3" s="1"/>
  <c r="V700" i="3"/>
  <c r="A701" i="3"/>
  <c r="B701" i="3" s="1"/>
  <c r="W700" i="3" l="1"/>
  <c r="L700" i="3"/>
  <c r="AC701" i="3"/>
  <c r="AA701" i="3"/>
  <c r="Z701" i="3"/>
  <c r="P701" i="3"/>
  <c r="Q701" i="3" s="1"/>
  <c r="R701" i="3" s="1"/>
  <c r="S701" i="3" s="1"/>
  <c r="AD701" i="3"/>
  <c r="U700" i="3" l="1"/>
  <c r="Y699" i="3"/>
  <c r="T701" i="3"/>
  <c r="AG701" i="3" s="1"/>
  <c r="AH701" i="3" l="1"/>
  <c r="E701" i="3"/>
  <c r="H701" i="3" s="1"/>
  <c r="D701" i="3"/>
  <c r="F701" i="3" l="1"/>
  <c r="G701" i="3"/>
  <c r="K701" i="3"/>
  <c r="AE701" i="3" s="1"/>
  <c r="I701" i="3" l="1"/>
  <c r="J701" i="3"/>
  <c r="M701" i="3"/>
  <c r="N701" i="3" s="1"/>
  <c r="V701" i="3"/>
  <c r="A702" i="3"/>
  <c r="B702" i="3" s="1"/>
  <c r="W701" i="3" l="1"/>
  <c r="L701" i="3"/>
  <c r="AC702" i="3"/>
  <c r="AD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M702" i="3"/>
  <c r="N702" i="3" s="1"/>
  <c r="W702" i="3" l="1"/>
  <c r="L702" i="3"/>
  <c r="AC703" i="3"/>
  <c r="AD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AD707" i="3"/>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M707" i="3"/>
  <c r="N707" i="3" s="1"/>
  <c r="AD708" i="3"/>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AD717" i="3"/>
  <c r="Z717" i="3"/>
  <c r="AA717" i="3"/>
  <c r="U716" i="3" l="1"/>
  <c r="Y715" i="3"/>
  <c r="T717" i="3"/>
  <c r="AG717" i="3" s="1"/>
  <c r="E717" i="3" l="1"/>
  <c r="H717" i="3" s="1"/>
  <c r="K717" i="3" s="1"/>
  <c r="AE717" i="3" s="1"/>
  <c r="AH717" i="3"/>
  <c r="D717" i="3"/>
  <c r="V717" i="3" l="1"/>
  <c r="A718" i="3"/>
  <c r="B718" i="3" s="1"/>
  <c r="F717" i="3"/>
  <c r="G717" i="3"/>
  <c r="I717" i="3" l="1"/>
  <c r="W717" i="3" s="1"/>
  <c r="J717" i="3"/>
  <c r="M717" i="3"/>
  <c r="N717" i="3" s="1"/>
  <c r="P718" i="3"/>
  <c r="Q718" i="3" s="1"/>
  <c r="R718" i="3" s="1"/>
  <c r="S718" i="3" s="1"/>
  <c r="AC718" i="3"/>
  <c r="Z718" i="3"/>
  <c r="AD718" i="3"/>
  <c r="AA718" i="3"/>
  <c r="L717" i="3" l="1"/>
  <c r="T718" i="3"/>
  <c r="U717" i="3" l="1"/>
  <c r="E718" i="3" s="1"/>
  <c r="H718" i="3" s="1"/>
  <c r="AH718" i="3"/>
  <c r="AG718" i="3"/>
  <c r="Y716" i="3"/>
  <c r="K718" i="3" l="1"/>
  <c r="AE718" i="3" s="1"/>
  <c r="D718" i="3"/>
  <c r="V718" i="3" l="1"/>
  <c r="A719" i="3"/>
  <c r="B719" i="3" s="1"/>
  <c r="F718" i="3"/>
  <c r="G718" i="3"/>
  <c r="I718" i="3" l="1"/>
  <c r="W718" i="3" s="1"/>
  <c r="J718" i="3"/>
  <c r="M718" i="3"/>
  <c r="N718" i="3" s="1"/>
  <c r="AD719" i="3"/>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M719" i="3"/>
  <c r="N719" i="3" s="1"/>
  <c r="V719" i="3"/>
  <c r="A720" i="3"/>
  <c r="B720" i="3" s="1"/>
  <c r="W719" i="3" l="1"/>
  <c r="L719" i="3"/>
  <c r="P720" i="3"/>
  <c r="Q720" i="3" s="1"/>
  <c r="R720" i="3" s="1"/>
  <c r="S720" i="3" s="1"/>
  <c r="AA720" i="3"/>
  <c r="AC720" i="3"/>
  <c r="Z720" i="3"/>
  <c r="AD720" i="3"/>
  <c r="U719" i="3" l="1"/>
  <c r="Y718" i="3"/>
  <c r="T720" i="3"/>
  <c r="AG720" i="3" s="1"/>
  <c r="E720" i="3" l="1"/>
  <c r="H720" i="3" s="1"/>
  <c r="K720" i="3" s="1"/>
  <c r="AE720" i="3" s="1"/>
  <c r="D720" i="3"/>
  <c r="AH720" i="3"/>
  <c r="V720" i="3" l="1"/>
  <c r="A721" i="3"/>
  <c r="B721" i="3" s="1"/>
  <c r="F720" i="3"/>
  <c r="G720" i="3"/>
  <c r="I720" i="3" l="1"/>
  <c r="W720" i="3" s="1"/>
  <c r="J720" i="3"/>
  <c r="M720" i="3"/>
  <c r="N720" i="3" s="1"/>
  <c r="AD721" i="3"/>
  <c r="AA721" i="3"/>
  <c r="Z721" i="3"/>
  <c r="AC721" i="3"/>
  <c r="P721" i="3"/>
  <c r="Q721" i="3" s="1"/>
  <c r="R721" i="3" s="1"/>
  <c r="S721" i="3" s="1"/>
  <c r="T721" i="3" l="1"/>
  <c r="L720" i="3"/>
  <c r="AG721" i="3" l="1"/>
  <c r="U720" i="3"/>
  <c r="D721" i="3" s="1"/>
  <c r="AH721" i="3"/>
  <c r="Y719" i="3"/>
  <c r="G721" i="3" l="1"/>
  <c r="E721" i="3"/>
  <c r="H721" i="3" s="1"/>
  <c r="F721" i="3" l="1"/>
  <c r="I721" i="3"/>
  <c r="J721" i="3"/>
  <c r="M721" i="3"/>
  <c r="N721" i="3" s="1"/>
  <c r="K721" i="3"/>
  <c r="AE721" i="3" s="1"/>
  <c r="V721" i="3" l="1"/>
  <c r="W721" i="3" s="1"/>
  <c r="A722" i="3"/>
  <c r="B722" i="3" s="1"/>
  <c r="L721" i="3"/>
  <c r="U721" i="3" l="1"/>
  <c r="Y720" i="3"/>
  <c r="AA722" i="3"/>
  <c r="AC722" i="3"/>
  <c r="P722" i="3"/>
  <c r="Q722" i="3" s="1"/>
  <c r="R722" i="3" s="1"/>
  <c r="S722" i="3" s="1"/>
  <c r="Z722" i="3"/>
  <c r="AD722" i="3"/>
  <c r="T722" i="3" l="1"/>
  <c r="AH722" i="3" s="1"/>
  <c r="E722" i="3" l="1"/>
  <c r="H722" i="3" s="1"/>
  <c r="K722" i="3" s="1"/>
  <c r="AE722" i="3" s="1"/>
  <c r="D722" i="3"/>
  <c r="AG722" i="3"/>
  <c r="V722" i="3" l="1"/>
  <c r="A723" i="3"/>
  <c r="B723" i="3" s="1"/>
  <c r="F722" i="3"/>
  <c r="G722" i="3"/>
  <c r="I722" i="3" l="1"/>
  <c r="W722" i="3" s="1"/>
  <c r="J722" i="3"/>
  <c r="M722" i="3"/>
  <c r="N722" i="3" s="1"/>
  <c r="Z723" i="3"/>
  <c r="AA723" i="3"/>
  <c r="AC723" i="3"/>
  <c r="P723" i="3"/>
  <c r="Q723" i="3" s="1"/>
  <c r="R723" i="3" s="1"/>
  <c r="S723" i="3" s="1"/>
  <c r="AD723" i="3"/>
  <c r="T723" i="3" l="1"/>
  <c r="L722" i="3"/>
  <c r="U722" i="3" l="1"/>
  <c r="E723" i="3" s="1"/>
  <c r="H723" i="3" s="1"/>
  <c r="AG723" i="3"/>
  <c r="AH723" i="3"/>
  <c r="Y721" i="3"/>
  <c r="D723" i="3" l="1"/>
  <c r="G723" i="3" s="1"/>
  <c r="K723" i="3"/>
  <c r="AE723" i="3" s="1"/>
  <c r="F723" i="3" l="1"/>
  <c r="V723" i="3"/>
  <c r="A724" i="3"/>
  <c r="B724" i="3" s="1"/>
  <c r="I723" i="3"/>
  <c r="J723" i="3"/>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AD725" i="3"/>
  <c r="U724" i="3" l="1"/>
  <c r="Y723" i="3"/>
  <c r="T725" i="3"/>
  <c r="AG725" i="3" s="1"/>
  <c r="AH725" i="3" l="1"/>
  <c r="D725" i="3"/>
  <c r="G725" i="3" s="1"/>
  <c r="E725" i="3"/>
  <c r="H725" i="3" s="1"/>
  <c r="F725" i="3" l="1"/>
  <c r="I725" i="3"/>
  <c r="J725" i="3"/>
  <c r="M725" i="3"/>
  <c r="N725" i="3" s="1"/>
  <c r="K725" i="3"/>
  <c r="AE725" i="3" s="1"/>
  <c r="V725" i="3" l="1"/>
  <c r="W725" i="3" s="1"/>
  <c r="A726" i="3"/>
  <c r="B726" i="3" s="1"/>
  <c r="L725" i="3"/>
  <c r="U725" i="3" l="1"/>
  <c r="Y724" i="3"/>
  <c r="Z726" i="3"/>
  <c r="P726" i="3"/>
  <c r="Q726" i="3" s="1"/>
  <c r="R726" i="3" s="1"/>
  <c r="S726" i="3" s="1"/>
  <c r="AA726" i="3"/>
  <c r="AD726" i="3"/>
  <c r="AC726" i="3"/>
  <c r="T726" i="3" l="1"/>
  <c r="AG726" i="3" s="1"/>
  <c r="D726" i="3" l="1"/>
  <c r="G726" i="3" s="1"/>
  <c r="E726" i="3"/>
  <c r="H726" i="3" s="1"/>
  <c r="K726" i="3" s="1"/>
  <c r="AE726" i="3" s="1"/>
  <c r="AH726" i="3"/>
  <c r="F726" i="3" l="1"/>
  <c r="I726" i="3"/>
  <c r="J726" i="3"/>
  <c r="M726" i="3"/>
  <c r="N726" i="3" s="1"/>
  <c r="V726" i="3"/>
  <c r="A727" i="3"/>
  <c r="B727" i="3" s="1"/>
  <c r="W726" i="3" l="1"/>
  <c r="L726" i="3"/>
  <c r="P727" i="3"/>
  <c r="Q727" i="3" s="1"/>
  <c r="R727" i="3" s="1"/>
  <c r="S727" i="3" s="1"/>
  <c r="Z727" i="3"/>
  <c r="AA727" i="3"/>
  <c r="AC727" i="3"/>
  <c r="AD727" i="3"/>
  <c r="U726" i="3" l="1"/>
  <c r="Y725" i="3"/>
  <c r="T727" i="3"/>
  <c r="AH727" i="3" s="1"/>
  <c r="E727" i="3" l="1"/>
  <c r="H727" i="3" s="1"/>
  <c r="K727" i="3" s="1"/>
  <c r="AE727" i="3" s="1"/>
  <c r="D727" i="3"/>
  <c r="AG727" i="3"/>
  <c r="F727" i="3" l="1"/>
  <c r="G727" i="3"/>
  <c r="M727" i="3" s="1"/>
  <c r="N727" i="3" s="1"/>
  <c r="V727" i="3"/>
  <c r="A728" i="3"/>
  <c r="B728" i="3" s="1"/>
  <c r="I727" i="3" l="1"/>
  <c r="W727" i="3" s="1"/>
  <c r="J727" i="3"/>
  <c r="L727" i="3" s="1"/>
  <c r="AA728" i="3"/>
  <c r="P728" i="3"/>
  <c r="Q728" i="3" s="1"/>
  <c r="R728" i="3" s="1"/>
  <c r="S728" i="3" s="1"/>
  <c r="AC728" i="3"/>
  <c r="Z728" i="3"/>
  <c r="AD728" i="3"/>
  <c r="U727" i="3" l="1"/>
  <c r="Y726" i="3"/>
  <c r="T728" i="3"/>
  <c r="D728" i="3" l="1"/>
  <c r="G728" i="3" s="1"/>
  <c r="AG728" i="3"/>
  <c r="E728" i="3"/>
  <c r="H728" i="3" s="1"/>
  <c r="AH728" i="3"/>
  <c r="F728" i="3" l="1"/>
  <c r="I728" i="3"/>
  <c r="J728" i="3"/>
  <c r="M728" i="3"/>
  <c r="N728" i="3" s="1"/>
  <c r="K728" i="3"/>
  <c r="AE728" i="3" s="1"/>
  <c r="V728" i="3" l="1"/>
  <c r="W728" i="3" s="1"/>
  <c r="A729" i="3"/>
  <c r="B729" i="3" s="1"/>
  <c r="L728" i="3"/>
  <c r="U728" i="3" l="1"/>
  <c r="Y727" i="3"/>
  <c r="P729" i="3"/>
  <c r="Q729" i="3" s="1"/>
  <c r="R729" i="3" s="1"/>
  <c r="S729" i="3" s="1"/>
  <c r="AA729" i="3"/>
  <c r="AD729" i="3"/>
  <c r="AC729" i="3"/>
  <c r="Z729" i="3"/>
  <c r="T729" i="3" l="1"/>
  <c r="E729" i="3" s="1"/>
  <c r="H729" i="3" s="1"/>
  <c r="AH729" i="3" l="1"/>
  <c r="D729" i="3"/>
  <c r="F729" i="3" s="1"/>
  <c r="AG729" i="3"/>
  <c r="K729" i="3"/>
  <c r="AE729" i="3" s="1"/>
  <c r="G729" i="3" l="1"/>
  <c r="I729" i="3" s="1"/>
  <c r="V729" i="3"/>
  <c r="A730" i="3"/>
  <c r="B730" i="3" s="1"/>
  <c r="W729" i="3" l="1"/>
  <c r="J729" i="3"/>
  <c r="L729" i="3" s="1"/>
  <c r="M729" i="3"/>
  <c r="N729" i="3" s="1"/>
  <c r="AA730" i="3"/>
  <c r="Z730" i="3"/>
  <c r="AD730" i="3"/>
  <c r="P730" i="3"/>
  <c r="Q730" i="3" s="1"/>
  <c r="R730" i="3" s="1"/>
  <c r="S730" i="3" s="1"/>
  <c r="AC730" i="3"/>
  <c r="U729" i="3" l="1"/>
  <c r="Y728" i="3"/>
  <c r="T730" i="3"/>
  <c r="AG730" i="3" s="1"/>
  <c r="D730" i="3" l="1"/>
  <c r="E730" i="3"/>
  <c r="H730" i="3" s="1"/>
  <c r="AH730" i="3"/>
  <c r="K730" i="3" l="1"/>
  <c r="AE730" i="3" s="1"/>
  <c r="F730" i="3"/>
  <c r="G730" i="3"/>
  <c r="I730" i="3" l="1"/>
  <c r="J730" i="3"/>
  <c r="M730" i="3"/>
  <c r="N730" i="3" s="1"/>
  <c r="V730" i="3"/>
  <c r="A731" i="3"/>
  <c r="B731" i="3" s="1"/>
  <c r="W730" i="3" l="1"/>
  <c r="L730" i="3"/>
  <c r="P731" i="3"/>
  <c r="Q731" i="3" s="1"/>
  <c r="R731" i="3" s="1"/>
  <c r="S731" i="3" s="1"/>
  <c r="Z731" i="3"/>
  <c r="AA731" i="3"/>
  <c r="AD731" i="3"/>
  <c r="AC731" i="3"/>
  <c r="U730" i="3" l="1"/>
  <c r="Y729" i="3"/>
  <c r="T731" i="3"/>
  <c r="AG731" i="3" s="1"/>
  <c r="E731" i="3" l="1"/>
  <c r="H731" i="3" s="1"/>
  <c r="K731" i="3" s="1"/>
  <c r="AE731" i="3" s="1"/>
  <c r="AH731" i="3"/>
  <c r="D731" i="3"/>
  <c r="F731" i="3" l="1"/>
  <c r="G731" i="3"/>
  <c r="J731" i="3" s="1"/>
  <c r="V731" i="3"/>
  <c r="A732" i="3"/>
  <c r="B732" i="3" s="1"/>
  <c r="M731" i="3" l="1"/>
  <c r="N731" i="3" s="1"/>
  <c r="I731" i="3"/>
  <c r="W731" i="3" s="1"/>
  <c r="L731" i="3"/>
  <c r="AC732" i="3"/>
  <c r="Z732" i="3"/>
  <c r="AD732" i="3"/>
  <c r="AA732" i="3"/>
  <c r="P732" i="3"/>
  <c r="Q732" i="3" s="1"/>
  <c r="R732" i="3" s="1"/>
  <c r="S732" i="3" s="1"/>
  <c r="U731" i="3" l="1"/>
  <c r="Y730" i="3"/>
  <c r="T732" i="3"/>
  <c r="E732" i="3" l="1"/>
  <c r="H732" i="3" s="1"/>
  <c r="K732" i="3" s="1"/>
  <c r="AE732" i="3" s="1"/>
  <c r="D732" i="3"/>
  <c r="G732" i="3" s="1"/>
  <c r="AH732" i="3"/>
  <c r="AG732" i="3"/>
  <c r="F732" i="3" l="1"/>
  <c r="I732" i="3"/>
  <c r="J732" i="3"/>
  <c r="M732" i="3"/>
  <c r="N732" i="3" s="1"/>
  <c r="V732" i="3"/>
  <c r="A733" i="3"/>
  <c r="B733" i="3" s="1"/>
  <c r="W732" i="3" l="1"/>
  <c r="L732" i="3"/>
  <c r="AC733" i="3"/>
  <c r="P733" i="3"/>
  <c r="Q733" i="3" s="1"/>
  <c r="R733" i="3" s="1"/>
  <c r="S733" i="3" s="1"/>
  <c r="AA733" i="3"/>
  <c r="Z733" i="3"/>
  <c r="AD733" i="3"/>
  <c r="T733" i="3" l="1"/>
  <c r="AH733" i="3" s="1"/>
  <c r="U732" i="3"/>
  <c r="Y731" i="3"/>
  <c r="D733" i="3" l="1"/>
  <c r="G733" i="3" s="1"/>
  <c r="E733" i="3"/>
  <c r="H733" i="3" s="1"/>
  <c r="AG733" i="3"/>
  <c r="F733" i="3" l="1"/>
  <c r="I733" i="3"/>
  <c r="J733" i="3"/>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AD735" i="3"/>
  <c r="L734" i="3" l="1"/>
  <c r="Y733" i="3" s="1"/>
  <c r="AD734" i="3"/>
  <c r="T735" i="3"/>
  <c r="U734" i="3" l="1"/>
  <c r="E735" i="3" s="1"/>
  <c r="H735" i="3" s="1"/>
  <c r="AH735" i="3"/>
  <c r="AG735" i="3"/>
  <c r="D735" i="3" l="1"/>
  <c r="G735" i="3" s="1"/>
  <c r="M735" i="3" s="1"/>
  <c r="N735" i="3" s="1"/>
  <c r="K735" i="3"/>
  <c r="AE735" i="3" s="1"/>
  <c r="F735" i="3" l="1"/>
  <c r="I735" i="3"/>
  <c r="J735" i="3"/>
  <c r="L735" i="3" s="1"/>
  <c r="V735" i="3"/>
  <c r="A736" i="3"/>
  <c r="B736" i="3" s="1"/>
  <c r="W735" i="3" l="1"/>
  <c r="U735" i="3"/>
  <c r="Y734" i="3"/>
  <c r="Z736" i="3"/>
  <c r="P736" i="3"/>
  <c r="Q736" i="3" s="1"/>
  <c r="R736" i="3" s="1"/>
  <c r="S736" i="3" s="1"/>
  <c r="AA736" i="3"/>
  <c r="AD736" i="3"/>
  <c r="AC736" i="3"/>
  <c r="T736" i="3" l="1"/>
  <c r="E736" i="3" s="1"/>
  <c r="H736" i="3" s="1"/>
  <c r="AH736" i="3" l="1"/>
  <c r="D736" i="3"/>
  <c r="F736" i="3" s="1"/>
  <c r="K736" i="3"/>
  <c r="AE736" i="3" s="1"/>
  <c r="AG736" i="3"/>
  <c r="G736" i="3" l="1"/>
  <c r="M736" i="3" s="1"/>
  <c r="N736" i="3" s="1"/>
  <c r="V736" i="3"/>
  <c r="A737" i="3"/>
  <c r="B737" i="3" s="1"/>
  <c r="I736" i="3" l="1"/>
  <c r="W736" i="3" s="1"/>
  <c r="J736" i="3"/>
  <c r="L736" i="3" s="1"/>
  <c r="AC737" i="3"/>
  <c r="P737" i="3"/>
  <c r="Q737" i="3" s="1"/>
  <c r="R737" i="3" s="1"/>
  <c r="S737" i="3" s="1"/>
  <c r="AD737" i="3"/>
  <c r="Z737" i="3"/>
  <c r="AA737" i="3"/>
  <c r="U736" i="3" l="1"/>
  <c r="Y735" i="3"/>
  <c r="T737" i="3"/>
  <c r="AH737" i="3" s="1"/>
  <c r="D737" i="3" l="1"/>
  <c r="E737" i="3"/>
  <c r="H737" i="3" s="1"/>
  <c r="AG737" i="3"/>
  <c r="F737" i="3" l="1"/>
  <c r="G737" i="3"/>
  <c r="K737" i="3"/>
  <c r="AE737" i="3" s="1"/>
  <c r="V737" i="3" l="1"/>
  <c r="A738" i="3"/>
  <c r="B738" i="3" s="1"/>
  <c r="I737" i="3"/>
  <c r="J737" i="3"/>
  <c r="M737" i="3"/>
  <c r="N737" i="3" s="1"/>
  <c r="W737" i="3" l="1"/>
  <c r="L737" i="3"/>
  <c r="AA738" i="3"/>
  <c r="P738" i="3"/>
  <c r="Q738" i="3" s="1"/>
  <c r="R738" i="3" s="1"/>
  <c r="S738" i="3" s="1"/>
  <c r="AC738" i="3"/>
  <c r="Z738" i="3"/>
  <c r="AD738" i="3"/>
  <c r="U737" i="3" l="1"/>
  <c r="Y736" i="3"/>
  <c r="T738" i="3"/>
  <c r="E738" i="3" l="1"/>
  <c r="H738" i="3" s="1"/>
  <c r="K738" i="3" s="1"/>
  <c r="AE738" i="3" s="1"/>
  <c r="D738" i="3"/>
  <c r="AG738" i="3"/>
  <c r="AH738" i="3"/>
  <c r="V738" i="3" l="1"/>
  <c r="A739" i="3"/>
  <c r="B739" i="3" s="1"/>
  <c r="F738" i="3"/>
  <c r="G738" i="3"/>
  <c r="I738" i="3" l="1"/>
  <c r="W738" i="3" s="1"/>
  <c r="J738" i="3"/>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AD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L745" i="3" s="1"/>
  <c r="Z746" i="3"/>
  <c r="AD746" i="3"/>
  <c r="P746" i="3"/>
  <c r="Q746" i="3" s="1"/>
  <c r="R746" i="3" s="1"/>
  <c r="S746" i="3" s="1"/>
  <c r="AA746" i="3"/>
  <c r="AC746" i="3"/>
  <c r="U745" i="3" l="1"/>
  <c r="Y744" i="3"/>
  <c r="T746" i="3"/>
  <c r="D746" i="3" l="1"/>
  <c r="G746" i="3" s="1"/>
  <c r="AG746" i="3"/>
  <c r="E746" i="3"/>
  <c r="H746" i="3" s="1"/>
  <c r="AH746" i="3"/>
  <c r="F746" i="3" l="1"/>
  <c r="I746" i="3"/>
  <c r="J746" i="3"/>
  <c r="M746" i="3"/>
  <c r="N746" i="3" s="1"/>
  <c r="K746" i="3"/>
  <c r="AE746" i="3" s="1"/>
  <c r="V746" i="3" l="1"/>
  <c r="W746" i="3" s="1"/>
  <c r="A747" i="3"/>
  <c r="B747" i="3" s="1"/>
  <c r="L746" i="3"/>
  <c r="U746" i="3" l="1"/>
  <c r="Y745" i="3"/>
  <c r="AA747" i="3"/>
  <c r="AD747" i="3"/>
  <c r="Z747" i="3"/>
  <c r="AC747" i="3"/>
  <c r="P747" i="3"/>
  <c r="Q747" i="3" s="1"/>
  <c r="R747" i="3" s="1"/>
  <c r="S747" i="3" s="1"/>
  <c r="T747" i="3" l="1"/>
  <c r="D747" i="3" s="1"/>
  <c r="AG747" i="3" l="1"/>
  <c r="E747" i="3"/>
  <c r="H747" i="3" s="1"/>
  <c r="K747" i="3" s="1"/>
  <c r="AE747" i="3" s="1"/>
  <c r="AH747" i="3"/>
  <c r="G747" i="3"/>
  <c r="F747" i="3" l="1"/>
  <c r="I747" i="3"/>
  <c r="J747" i="3"/>
  <c r="M747" i="3"/>
  <c r="N747" i="3" s="1"/>
  <c r="V747" i="3"/>
  <c r="A748" i="3"/>
  <c r="B748" i="3" s="1"/>
  <c r="W747" i="3" l="1"/>
  <c r="L747" i="3"/>
  <c r="AC748" i="3"/>
  <c r="P748" i="3"/>
  <c r="Q748" i="3" s="1"/>
  <c r="R748" i="3" s="1"/>
  <c r="S748" i="3" s="1"/>
  <c r="AD748" i="3"/>
  <c r="Z748" i="3"/>
  <c r="AA748" i="3"/>
  <c r="U747" i="3" l="1"/>
  <c r="Y746" i="3"/>
  <c r="T748" i="3"/>
  <c r="E748" i="3" l="1"/>
  <c r="H748" i="3" s="1"/>
  <c r="K748" i="3" s="1"/>
  <c r="AE748" i="3" s="1"/>
  <c r="D748" i="3"/>
  <c r="AH748" i="3"/>
  <c r="AG748" i="3"/>
  <c r="V748" i="3" l="1"/>
  <c r="A749" i="3"/>
  <c r="B749" i="3" s="1"/>
  <c r="F748" i="3"/>
  <c r="G748" i="3"/>
  <c r="I748" i="3" l="1"/>
  <c r="W748" i="3" s="1"/>
  <c r="J748" i="3"/>
  <c r="M748" i="3"/>
  <c r="N748" i="3" s="1"/>
  <c r="AA749" i="3"/>
  <c r="Z749" i="3"/>
  <c r="P749" i="3"/>
  <c r="Q749" i="3" s="1"/>
  <c r="R749" i="3" s="1"/>
  <c r="S749" i="3" s="1"/>
  <c r="AC749" i="3"/>
  <c r="AD749" i="3"/>
  <c r="T749" i="3" l="1"/>
  <c r="L748" i="3"/>
  <c r="U748" i="3" l="1"/>
  <c r="E749" i="3" s="1"/>
  <c r="H749" i="3" s="1"/>
  <c r="AG749" i="3"/>
  <c r="AH749" i="3"/>
  <c r="Y747" i="3"/>
  <c r="K749" i="3" l="1"/>
  <c r="AE749" i="3" s="1"/>
  <c r="D749" i="3"/>
  <c r="V749" i="3" l="1"/>
  <c r="A750" i="3"/>
  <c r="B750" i="3" s="1"/>
  <c r="F749" i="3"/>
  <c r="G749" i="3"/>
  <c r="I749" i="3" l="1"/>
  <c r="W749" i="3" s="1"/>
  <c r="J749" i="3"/>
  <c r="M749" i="3"/>
  <c r="N749" i="3" s="1"/>
  <c r="AA750" i="3"/>
  <c r="AC750" i="3"/>
  <c r="Z750" i="3"/>
  <c r="AD750" i="3"/>
  <c r="P750" i="3"/>
  <c r="Q750" i="3" s="1"/>
  <c r="R750" i="3" s="1"/>
  <c r="S750" i="3" s="1"/>
  <c r="T750" i="3" l="1"/>
  <c r="L749" i="3"/>
  <c r="AH750" i="3" l="1"/>
  <c r="AG750" i="3"/>
  <c r="U749" i="3"/>
  <c r="D750" i="3" s="1"/>
  <c r="Y748" i="3"/>
  <c r="G750" i="3" l="1"/>
  <c r="E750" i="3"/>
  <c r="H750" i="3" s="1"/>
  <c r="F750" i="3" l="1"/>
  <c r="I750" i="3"/>
  <c r="J750" i="3"/>
  <c r="M750" i="3"/>
  <c r="N750" i="3" s="1"/>
  <c r="K750" i="3"/>
  <c r="AE750" i="3" s="1"/>
  <c r="V750" i="3" l="1"/>
  <c r="W750" i="3" s="1"/>
  <c r="A751" i="3"/>
  <c r="B751" i="3" s="1"/>
  <c r="L750" i="3"/>
  <c r="U750" i="3" l="1"/>
  <c r="Y749" i="3"/>
  <c r="P751" i="3"/>
  <c r="Q751" i="3" s="1"/>
  <c r="R751" i="3" s="1"/>
  <c r="S751" i="3" s="1"/>
  <c r="Z751" i="3"/>
  <c r="AA751" i="3"/>
  <c r="AC751" i="3"/>
  <c r="AD751" i="3"/>
  <c r="T751" i="3" l="1"/>
  <c r="AH751" i="3" s="1"/>
  <c r="E751" i="3" l="1"/>
  <c r="H751" i="3" s="1"/>
  <c r="K751" i="3" s="1"/>
  <c r="AE751" i="3" s="1"/>
  <c r="AG751" i="3"/>
  <c r="D751" i="3"/>
  <c r="F751" i="3" l="1"/>
  <c r="G751" i="3"/>
  <c r="V751" i="3"/>
  <c r="A752" i="3"/>
  <c r="B752" i="3" s="1"/>
  <c r="AA752" i="3" l="1"/>
  <c r="AD752" i="3"/>
  <c r="Z752" i="3"/>
  <c r="AC752" i="3"/>
  <c r="P752" i="3"/>
  <c r="Q752" i="3" s="1"/>
  <c r="R752" i="3" s="1"/>
  <c r="S752" i="3" s="1"/>
  <c r="I751" i="3"/>
  <c r="W751" i="3" s="1"/>
  <c r="J751" i="3"/>
  <c r="M751" i="3"/>
  <c r="N751" i="3" s="1"/>
  <c r="L751" i="3" l="1"/>
  <c r="T752" i="3"/>
  <c r="U751" i="3" l="1"/>
  <c r="E752" i="3" s="1"/>
  <c r="H752" i="3" s="1"/>
  <c r="AG752" i="3"/>
  <c r="AH752" i="3"/>
  <c r="Y750" i="3"/>
  <c r="K752" i="3" l="1"/>
  <c r="AE752" i="3" s="1"/>
  <c r="D752" i="3"/>
  <c r="V752" i="3" l="1"/>
  <c r="A753" i="3"/>
  <c r="B753" i="3" s="1"/>
  <c r="F752" i="3"/>
  <c r="G752" i="3"/>
  <c r="I752" i="3" l="1"/>
  <c r="W752" i="3" s="1"/>
  <c r="J752" i="3"/>
  <c r="M752" i="3"/>
  <c r="N752" i="3" s="1"/>
  <c r="AD753" i="3"/>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D755"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AD756" i="3"/>
  <c r="I755" i="3"/>
  <c r="W755" i="3" s="1"/>
  <c r="J755" i="3"/>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L756" i="3" s="1"/>
  <c r="AD757" i="3"/>
  <c r="AC757" i="3"/>
  <c r="P757" i="3"/>
  <c r="Q757" i="3" s="1"/>
  <c r="R757" i="3" s="1"/>
  <c r="S757" i="3" s="1"/>
  <c r="Z757" i="3"/>
  <c r="AA757" i="3"/>
  <c r="T757" i="3" l="1"/>
  <c r="U756" i="3"/>
  <c r="Y755" i="3"/>
  <c r="E757" i="3" l="1"/>
  <c r="H757" i="3" s="1"/>
  <c r="K757" i="3" s="1"/>
  <c r="AE757" i="3" s="1"/>
  <c r="AH757" i="3"/>
  <c r="D757" i="3"/>
  <c r="AG757" i="3"/>
  <c r="V757" i="3" l="1"/>
  <c r="A758" i="3"/>
  <c r="B758" i="3" s="1"/>
  <c r="F757" i="3"/>
  <c r="G757" i="3"/>
  <c r="I757" i="3" l="1"/>
  <c r="W757" i="3" s="1"/>
  <c r="J757" i="3"/>
  <c r="M757" i="3"/>
  <c r="N757" i="3" s="1"/>
  <c r="AA758" i="3"/>
  <c r="Z758" i="3"/>
  <c r="AD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M758" i="3"/>
  <c r="N758" i="3" s="1"/>
  <c r="L758" i="3" l="1"/>
  <c r="W758" i="3"/>
  <c r="AD759" i="3"/>
  <c r="P759" i="3"/>
  <c r="Q759" i="3" s="1"/>
  <c r="R759" i="3" s="1"/>
  <c r="S759" i="3" s="1"/>
  <c r="Z759" i="3"/>
  <c r="AA759" i="3"/>
  <c r="AC759" i="3"/>
  <c r="U758" i="3" l="1"/>
  <c r="Y757" i="3"/>
  <c r="T759" i="3"/>
  <c r="D759" i="3" l="1"/>
  <c r="G759" i="3" s="1"/>
  <c r="AG759" i="3"/>
  <c r="E759" i="3"/>
  <c r="H759" i="3" s="1"/>
  <c r="AH759" i="3"/>
  <c r="F759" i="3" l="1"/>
  <c r="I759" i="3"/>
  <c r="J759" i="3"/>
  <c r="M759" i="3"/>
  <c r="N759" i="3" s="1"/>
  <c r="K759" i="3"/>
  <c r="AE759" i="3" s="1"/>
  <c r="V759" i="3" l="1"/>
  <c r="W759" i="3" s="1"/>
  <c r="A760" i="3"/>
  <c r="B760" i="3" s="1"/>
  <c r="L759" i="3"/>
  <c r="U759" i="3" l="1"/>
  <c r="Y758" i="3"/>
  <c r="AA760" i="3"/>
  <c r="AC760" i="3"/>
  <c r="Z760" i="3"/>
  <c r="P760" i="3"/>
  <c r="Q760" i="3" s="1"/>
  <c r="R760" i="3" s="1"/>
  <c r="S760" i="3" s="1"/>
  <c r="AD760" i="3"/>
  <c r="T760" i="3" l="1"/>
  <c r="E760" i="3" s="1"/>
  <c r="H760" i="3" s="1"/>
  <c r="AH760" i="3" l="1"/>
  <c r="AG760" i="3"/>
  <c r="D760" i="3"/>
  <c r="G760" i="3" s="1"/>
  <c r="K760" i="3"/>
  <c r="AE760" i="3" s="1"/>
  <c r="F760" i="3" l="1"/>
  <c r="I760" i="3"/>
  <c r="J760" i="3"/>
  <c r="M760" i="3"/>
  <c r="N760" i="3" s="1"/>
  <c r="V760" i="3"/>
  <c r="A761" i="3"/>
  <c r="B761" i="3" s="1"/>
  <c r="W760" i="3" l="1"/>
  <c r="L760" i="3"/>
  <c r="P761" i="3"/>
  <c r="Q761" i="3" s="1"/>
  <c r="R761" i="3" s="1"/>
  <c r="S761" i="3" s="1"/>
  <c r="Z761" i="3"/>
  <c r="AA761" i="3"/>
  <c r="AD761" i="3"/>
  <c r="AC761" i="3"/>
  <c r="T761" i="3" l="1"/>
  <c r="U760" i="3"/>
  <c r="Y759" i="3"/>
  <c r="D761" i="3" l="1"/>
  <c r="G761" i="3" s="1"/>
  <c r="AG761" i="3"/>
  <c r="AH761" i="3"/>
  <c r="E761" i="3"/>
  <c r="H761" i="3" s="1"/>
  <c r="F761" i="3" l="1"/>
  <c r="I761" i="3"/>
  <c r="J761" i="3"/>
  <c r="M761" i="3"/>
  <c r="N761" i="3" s="1"/>
  <c r="K761" i="3"/>
  <c r="AE761" i="3" s="1"/>
  <c r="V761" i="3" l="1"/>
  <c r="W761" i="3" s="1"/>
  <c r="A762" i="3"/>
  <c r="B762" i="3" s="1"/>
  <c r="L761" i="3"/>
  <c r="U761" i="3" l="1"/>
  <c r="Y760" i="3"/>
  <c r="AA762" i="3"/>
  <c r="Z762" i="3"/>
  <c r="AC762" i="3"/>
  <c r="P762" i="3"/>
  <c r="Q762" i="3" s="1"/>
  <c r="R762" i="3" s="1"/>
  <c r="S762" i="3" s="1"/>
  <c r="AD762" i="3"/>
  <c r="T762" i="3" l="1"/>
  <c r="D762" i="3" s="1"/>
  <c r="E762" i="3" l="1"/>
  <c r="H762" i="3" s="1"/>
  <c r="K762" i="3" s="1"/>
  <c r="AE762" i="3" s="1"/>
  <c r="AH762" i="3"/>
  <c r="AG762" i="3"/>
  <c r="G762" i="3"/>
  <c r="F762" i="3" l="1"/>
  <c r="I762" i="3"/>
  <c r="J762" i="3"/>
  <c r="M762" i="3"/>
  <c r="N762" i="3" s="1"/>
  <c r="V762" i="3"/>
  <c r="A763" i="3"/>
  <c r="B763" i="3" s="1"/>
  <c r="W762" i="3" l="1"/>
  <c r="L762" i="3"/>
  <c r="AC763" i="3"/>
  <c r="Z763" i="3"/>
  <c r="AA763" i="3"/>
  <c r="P763" i="3"/>
  <c r="Q763" i="3" s="1"/>
  <c r="R763" i="3" s="1"/>
  <c r="S763" i="3" s="1"/>
  <c r="AD763" i="3"/>
  <c r="U762" i="3" l="1"/>
  <c r="Y761" i="3"/>
  <c r="T763" i="3"/>
  <c r="D763" i="3" l="1"/>
  <c r="G763" i="3" s="1"/>
  <c r="AG763" i="3"/>
  <c r="AH763" i="3"/>
  <c r="E763" i="3"/>
  <c r="H763" i="3" s="1"/>
  <c r="K763" i="3" s="1"/>
  <c r="AE763" i="3" s="1"/>
  <c r="F763" i="3" l="1"/>
  <c r="I763" i="3"/>
  <c r="J763" i="3"/>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AD765" i="3"/>
  <c r="I764" i="3"/>
  <c r="W764" i="3" s="1"/>
  <c r="J764" i="3"/>
  <c r="AD764" i="3" s="1"/>
  <c r="M764" i="3"/>
  <c r="N764" i="3" s="1"/>
  <c r="T765" i="3" l="1"/>
  <c r="L764" i="3"/>
  <c r="AG765" i="3" l="1"/>
  <c r="AH765" i="3"/>
  <c r="U764" i="3"/>
  <c r="D765" i="3" s="1"/>
  <c r="Y763" i="3"/>
  <c r="E765" i="3" l="1"/>
  <c r="H765" i="3" s="1"/>
  <c r="K765" i="3" s="1"/>
  <c r="AE765" i="3" s="1"/>
  <c r="G765" i="3"/>
  <c r="F765" i="3" l="1"/>
  <c r="I765" i="3"/>
  <c r="J765" i="3"/>
  <c r="M765" i="3"/>
  <c r="N765" i="3" s="1"/>
  <c r="V765" i="3"/>
  <c r="A766" i="3"/>
  <c r="B766" i="3" s="1"/>
  <c r="W765" i="3" l="1"/>
  <c r="L765" i="3"/>
  <c r="AD766"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M766" i="3"/>
  <c r="N766" i="3" s="1"/>
  <c r="P767" i="3"/>
  <c r="Q767" i="3" s="1"/>
  <c r="R767" i="3" s="1"/>
  <c r="S767" i="3" s="1"/>
  <c r="AC767" i="3"/>
  <c r="AD767" i="3"/>
  <c r="AA767" i="3"/>
  <c r="Z767" i="3"/>
  <c r="T767" i="3" l="1"/>
  <c r="L766" i="3"/>
  <c r="AH767" i="3" l="1"/>
  <c r="AG767" i="3"/>
  <c r="U766" i="3"/>
  <c r="D767" i="3" s="1"/>
  <c r="Y765" i="3"/>
  <c r="E767" i="3" l="1"/>
  <c r="H767" i="3" s="1"/>
  <c r="K767" i="3" s="1"/>
  <c r="AE767" i="3" s="1"/>
  <c r="G767" i="3"/>
  <c r="F767" i="3" l="1"/>
  <c r="I767" i="3"/>
  <c r="J767" i="3"/>
  <c r="M767" i="3"/>
  <c r="N767" i="3" s="1"/>
  <c r="V767" i="3"/>
  <c r="A768" i="3"/>
  <c r="B768" i="3" s="1"/>
  <c r="W767" i="3" l="1"/>
  <c r="L767" i="3"/>
  <c r="AC768" i="3"/>
  <c r="AA768" i="3"/>
  <c r="AD768" i="3"/>
  <c r="P768" i="3"/>
  <c r="Q768" i="3" s="1"/>
  <c r="R768" i="3" s="1"/>
  <c r="S768" i="3" s="1"/>
  <c r="Z768" i="3"/>
  <c r="T768" i="3" l="1"/>
  <c r="AG768" i="3" s="1"/>
  <c r="U767" i="3"/>
  <c r="Y766" i="3"/>
  <c r="D768" i="3" l="1"/>
  <c r="G768" i="3" s="1"/>
  <c r="AH768" i="3"/>
  <c r="E768" i="3"/>
  <c r="H768" i="3" s="1"/>
  <c r="K768" i="3" l="1"/>
  <c r="AE768" i="3" s="1"/>
  <c r="I768" i="3"/>
  <c r="J768" i="3"/>
  <c r="M768" i="3"/>
  <c r="N768" i="3" s="1"/>
  <c r="F768" i="3"/>
  <c r="L768" i="3" l="1"/>
  <c r="V768" i="3"/>
  <c r="W768" i="3" s="1"/>
  <c r="A769" i="3"/>
  <c r="B769" i="3" s="1"/>
  <c r="AD769" i="3" l="1"/>
  <c r="AC769" i="3"/>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M769" i="3"/>
  <c r="N769" i="3" s="1"/>
  <c r="W769" i="3" l="1"/>
  <c r="L769" i="3"/>
  <c r="AC770" i="3"/>
  <c r="P770" i="3"/>
  <c r="Q770" i="3" s="1"/>
  <c r="R770" i="3" s="1"/>
  <c r="S770" i="3" s="1"/>
  <c r="AD770" i="3"/>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L770" i="3" s="1"/>
  <c r="AA771" i="3"/>
  <c r="AC771" i="3"/>
  <c r="P771" i="3"/>
  <c r="Q771" i="3" s="1"/>
  <c r="R771" i="3" s="1"/>
  <c r="S771" i="3" s="1"/>
  <c r="Z771" i="3"/>
  <c r="AD771" i="3"/>
  <c r="U770" i="3" l="1"/>
  <c r="Y769" i="3"/>
  <c r="T771" i="3"/>
  <c r="AH771" i="3" s="1"/>
  <c r="E771" i="3" l="1"/>
  <c r="H771" i="3" s="1"/>
  <c r="AG771" i="3"/>
  <c r="D771" i="3"/>
  <c r="K771" i="3" l="1"/>
  <c r="AE771" i="3" s="1"/>
  <c r="F771" i="3"/>
  <c r="G771" i="3"/>
  <c r="V771" i="3" l="1"/>
  <c r="A772" i="3"/>
  <c r="B772" i="3" s="1"/>
  <c r="I771" i="3"/>
  <c r="J771" i="3"/>
  <c r="M771" i="3"/>
  <c r="N771" i="3" s="1"/>
  <c r="L771" i="3" l="1"/>
  <c r="W771" i="3"/>
  <c r="AD772"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M772" i="3"/>
  <c r="N772" i="3" s="1"/>
  <c r="W772" i="3" l="1"/>
  <c r="L772" i="3"/>
  <c r="AA773" i="3"/>
  <c r="P773" i="3"/>
  <c r="Q773" i="3" s="1"/>
  <c r="R773" i="3" s="1"/>
  <c r="S773" i="3" s="1"/>
  <c r="Z773" i="3"/>
  <c r="AD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L773" i="3" s="1"/>
  <c r="AC774" i="3"/>
  <c r="P774" i="3"/>
  <c r="Q774" i="3" s="1"/>
  <c r="R774" i="3" s="1"/>
  <c r="S774" i="3" s="1"/>
  <c r="AA774" i="3"/>
  <c r="Z774" i="3"/>
  <c r="U773" i="3" l="1"/>
  <c r="Y772" i="3"/>
  <c r="T774" i="3"/>
  <c r="AG774" i="3" s="1"/>
  <c r="E774" i="3" l="1"/>
  <c r="H774" i="3" s="1"/>
  <c r="K774" i="3" s="1"/>
  <c r="AE774" i="3" s="1"/>
  <c r="AH774" i="3"/>
  <c r="D774" i="3"/>
  <c r="F774" i="3" l="1"/>
  <c r="G774" i="3"/>
  <c r="M774" i="3" s="1"/>
  <c r="N774" i="3" s="1"/>
  <c r="V774" i="3"/>
  <c r="A775" i="3"/>
  <c r="B775" i="3" s="1"/>
  <c r="I774" i="3" l="1"/>
  <c r="W774" i="3" s="1"/>
  <c r="J774" i="3"/>
  <c r="P775" i="3"/>
  <c r="Q775" i="3" s="1"/>
  <c r="R775" i="3" s="1"/>
  <c r="S775" i="3" s="1"/>
  <c r="Z775" i="3"/>
  <c r="AD775" i="3"/>
  <c r="AA775" i="3"/>
  <c r="AC775" i="3"/>
  <c r="L774" i="3" l="1"/>
  <c r="Y773"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D778" i="3"/>
  <c r="AA778" i="3"/>
  <c r="AC778" i="3"/>
  <c r="U777" i="3" l="1"/>
  <c r="Y776" i="3"/>
  <c r="T778" i="3"/>
  <c r="AH778" i="3" s="1"/>
  <c r="E778" i="3" l="1"/>
  <c r="H778" i="3" s="1"/>
  <c r="K778" i="3" s="1"/>
  <c r="AE778" i="3" s="1"/>
  <c r="AG778" i="3"/>
  <c r="D778" i="3"/>
  <c r="G778" i="3" s="1"/>
  <c r="F778" i="3" l="1"/>
  <c r="I778" i="3"/>
  <c r="J778" i="3"/>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AD785" i="3"/>
  <c r="P785" i="3"/>
  <c r="Q785" i="3" s="1"/>
  <c r="R785" i="3" s="1"/>
  <c r="S785" i="3" s="1"/>
  <c r="AC785" i="3"/>
  <c r="Z785" i="3"/>
  <c r="U784" i="3" l="1"/>
  <c r="Y783" i="3"/>
  <c r="T785" i="3"/>
  <c r="AH785" i="3" s="1"/>
  <c r="E785" i="3" l="1"/>
  <c r="H785" i="3" s="1"/>
  <c r="AG785" i="3"/>
  <c r="D785" i="3"/>
  <c r="K785" i="3" l="1"/>
  <c r="AE785" i="3" s="1"/>
  <c r="F785" i="3"/>
  <c r="G785" i="3"/>
  <c r="I785" i="3" l="1"/>
  <c r="J785" i="3"/>
  <c r="M785" i="3"/>
  <c r="N785" i="3" s="1"/>
  <c r="V785" i="3"/>
  <c r="A786" i="3"/>
  <c r="B786" i="3" s="1"/>
  <c r="W785" i="3" l="1"/>
  <c r="L785" i="3"/>
  <c r="Z786" i="3"/>
  <c r="AD786" i="3"/>
  <c r="AA786" i="3"/>
  <c r="P786" i="3"/>
  <c r="Q786" i="3" s="1"/>
  <c r="R786" i="3" s="1"/>
  <c r="S786" i="3" s="1"/>
  <c r="AC786" i="3"/>
  <c r="U785" i="3" l="1"/>
  <c r="Y784" i="3"/>
  <c r="T786" i="3"/>
  <c r="E786" i="3" l="1"/>
  <c r="H786" i="3" s="1"/>
  <c r="K786" i="3" s="1"/>
  <c r="AE786" i="3" s="1"/>
  <c r="AG786" i="3"/>
  <c r="D786" i="3"/>
  <c r="G786" i="3" s="1"/>
  <c r="AH786" i="3"/>
  <c r="F786" i="3" l="1"/>
  <c r="I786" i="3"/>
  <c r="J786" i="3"/>
  <c r="M786" i="3"/>
  <c r="N786" i="3" s="1"/>
  <c r="V786" i="3"/>
  <c r="A787" i="3"/>
  <c r="B787" i="3" s="1"/>
  <c r="L786" i="3" l="1"/>
  <c r="W786" i="3"/>
  <c r="AC787" i="3"/>
  <c r="P787" i="3"/>
  <c r="Q787" i="3" s="1"/>
  <c r="R787" i="3" s="1"/>
  <c r="S787" i="3" s="1"/>
  <c r="Z787" i="3"/>
  <c r="AD787" i="3"/>
  <c r="AA787" i="3"/>
  <c r="U786" i="3" l="1"/>
  <c r="Y785" i="3"/>
  <c r="T787" i="3"/>
  <c r="D787" i="3" l="1"/>
  <c r="G787" i="3" s="1"/>
  <c r="AH787" i="3"/>
  <c r="E787" i="3"/>
  <c r="H787" i="3" s="1"/>
  <c r="AG787" i="3"/>
  <c r="F787" i="3" l="1"/>
  <c r="I787" i="3"/>
  <c r="J787" i="3"/>
  <c r="M787" i="3"/>
  <c r="N787" i="3" s="1"/>
  <c r="K787" i="3"/>
  <c r="AE787" i="3" s="1"/>
  <c r="V787" i="3" l="1"/>
  <c r="W787" i="3" s="1"/>
  <c r="A788" i="3"/>
  <c r="B788" i="3" s="1"/>
  <c r="L787" i="3"/>
  <c r="U787" i="3" l="1"/>
  <c r="Y786" i="3"/>
  <c r="AC788" i="3"/>
  <c r="Z788" i="3"/>
  <c r="AD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L788" i="3" s="1"/>
  <c r="W788" i="3"/>
  <c r="P789" i="3"/>
  <c r="Q789" i="3" s="1"/>
  <c r="R789" i="3" s="1"/>
  <c r="S789" i="3" s="1"/>
  <c r="AC789" i="3"/>
  <c r="AD789" i="3"/>
  <c r="AA789" i="3"/>
  <c r="Z789" i="3"/>
  <c r="U788" i="3" l="1"/>
  <c r="Y787" i="3"/>
  <c r="T789" i="3"/>
  <c r="D789" i="3" l="1"/>
  <c r="G789" i="3" s="1"/>
  <c r="E789" i="3"/>
  <c r="H789" i="3" s="1"/>
  <c r="AH789" i="3"/>
  <c r="AG789" i="3"/>
  <c r="F789" i="3" l="1"/>
  <c r="I789" i="3"/>
  <c r="J789" i="3"/>
  <c r="M789" i="3"/>
  <c r="N789" i="3" s="1"/>
  <c r="K789" i="3"/>
  <c r="AE789" i="3" s="1"/>
  <c r="L789" i="3" l="1"/>
  <c r="V789" i="3"/>
  <c r="W789" i="3" s="1"/>
  <c r="A790" i="3"/>
  <c r="B790" i="3" s="1"/>
  <c r="AA790" i="3" l="1"/>
  <c r="AC790" i="3"/>
  <c r="Z790" i="3"/>
  <c r="AD790" i="3"/>
  <c r="P790" i="3"/>
  <c r="Q790" i="3" s="1"/>
  <c r="R790" i="3" s="1"/>
  <c r="S790" i="3" s="1"/>
  <c r="U789" i="3"/>
  <c r="Y788" i="3"/>
  <c r="T790" i="3" l="1"/>
  <c r="D790" i="3" s="1"/>
  <c r="AG790" i="3" l="1"/>
  <c r="G790" i="3"/>
  <c r="AH790" i="3"/>
  <c r="E790" i="3"/>
  <c r="H790" i="3" s="1"/>
  <c r="F790" i="3" l="1"/>
  <c r="I790" i="3"/>
  <c r="J790" i="3"/>
  <c r="M790" i="3"/>
  <c r="N790" i="3" s="1"/>
  <c r="K790" i="3"/>
  <c r="AE790" i="3" s="1"/>
  <c r="V790" i="3" l="1"/>
  <c r="W790" i="3" s="1"/>
  <c r="A791" i="3"/>
  <c r="B791" i="3" s="1"/>
  <c r="L790" i="3"/>
  <c r="U790" i="3" l="1"/>
  <c r="Y789" i="3"/>
  <c r="AD791" i="3"/>
  <c r="P791" i="3"/>
  <c r="Q791" i="3" s="1"/>
  <c r="R791" i="3" s="1"/>
  <c r="S791" i="3" s="1"/>
  <c r="AA791" i="3"/>
  <c r="AC791" i="3"/>
  <c r="Z791" i="3"/>
  <c r="T791" i="3" l="1"/>
  <c r="AG791" i="3" s="1"/>
  <c r="E791" i="3" l="1"/>
  <c r="H791" i="3" s="1"/>
  <c r="K791" i="3" s="1"/>
  <c r="AE791" i="3" s="1"/>
  <c r="D791" i="3"/>
  <c r="G791" i="3" s="1"/>
  <c r="AH791" i="3"/>
  <c r="F791" i="3" l="1"/>
  <c r="I791" i="3"/>
  <c r="J791" i="3"/>
  <c r="M791" i="3"/>
  <c r="N791" i="3" s="1"/>
  <c r="V791" i="3"/>
  <c r="A792" i="3"/>
  <c r="B792" i="3" s="1"/>
  <c r="W791" i="3" l="1"/>
  <c r="L791" i="3"/>
  <c r="P792" i="3"/>
  <c r="Q792" i="3" s="1"/>
  <c r="R792" i="3" s="1"/>
  <c r="S792" i="3" s="1"/>
  <c r="AC792" i="3"/>
  <c r="AD792" i="3"/>
  <c r="Z792" i="3"/>
  <c r="AA792" i="3"/>
  <c r="U791" i="3" l="1"/>
  <c r="Y790" i="3"/>
  <c r="T792" i="3"/>
  <c r="AG792" i="3" s="1"/>
  <c r="AH792" i="3" l="1"/>
  <c r="D792" i="3"/>
  <c r="E792" i="3"/>
  <c r="H792" i="3" s="1"/>
  <c r="F792" i="3" l="1"/>
  <c r="G792" i="3"/>
  <c r="K792" i="3"/>
  <c r="AE792" i="3" s="1"/>
  <c r="I792" i="3" l="1"/>
  <c r="J792" i="3"/>
  <c r="M792" i="3"/>
  <c r="N792" i="3" s="1"/>
  <c r="V792" i="3"/>
  <c r="A793" i="3"/>
  <c r="B793" i="3" s="1"/>
  <c r="L792" i="3" l="1"/>
  <c r="W792" i="3"/>
  <c r="AD793"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L793" i="3" s="1"/>
  <c r="Z794" i="3"/>
  <c r="AC794" i="3"/>
  <c r="P794" i="3"/>
  <c r="Q794" i="3" s="1"/>
  <c r="R794" i="3" s="1"/>
  <c r="S794" i="3" s="1"/>
  <c r="AA794" i="3"/>
  <c r="T794" i="3" l="1"/>
  <c r="AH794" i="3" s="1"/>
  <c r="U793" i="3"/>
  <c r="Y792" i="3"/>
  <c r="AG794" i="3" l="1"/>
  <c r="D794" i="3"/>
  <c r="E794" i="3"/>
  <c r="H794" i="3" s="1"/>
  <c r="F794" i="3" l="1"/>
  <c r="G794" i="3"/>
  <c r="K794" i="3"/>
  <c r="AE794" i="3" s="1"/>
  <c r="I794" i="3" l="1"/>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AD798" i="3"/>
  <c r="T798" i="3" l="1"/>
  <c r="U797" i="3"/>
  <c r="Y796" i="3"/>
  <c r="E798" i="3" l="1"/>
  <c r="H798" i="3" s="1"/>
  <c r="K798" i="3" s="1"/>
  <c r="AE798" i="3" s="1"/>
  <c r="D798" i="3"/>
  <c r="G798" i="3" s="1"/>
  <c r="AH798" i="3"/>
  <c r="AG798" i="3"/>
  <c r="F798" i="3" l="1"/>
  <c r="I798" i="3"/>
  <c r="J798" i="3"/>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D808" i="3"/>
  <c r="AC808" i="3"/>
  <c r="U807" i="3" l="1"/>
  <c r="Y806" i="3"/>
  <c r="T808" i="3"/>
  <c r="AH808" i="3" s="1"/>
  <c r="D808" i="3" l="1"/>
  <c r="G808" i="3" s="1"/>
  <c r="E808" i="3"/>
  <c r="H808" i="3" s="1"/>
  <c r="K808" i="3" s="1"/>
  <c r="AE808" i="3" s="1"/>
  <c r="AG808" i="3"/>
  <c r="F808" i="3" l="1"/>
  <c r="I808" i="3"/>
  <c r="J808" i="3"/>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AD818"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AD828" i="3"/>
  <c r="P828" i="3"/>
  <c r="Q828" i="3" s="1"/>
  <c r="R828" i="3" s="1"/>
  <c r="S828" i="3" s="1"/>
  <c r="AC828" i="3"/>
  <c r="AA828" i="3"/>
  <c r="Z828" i="3"/>
  <c r="U827" i="3" l="1"/>
  <c r="Y826" i="3"/>
  <c r="T828" i="3"/>
  <c r="D828" i="3" l="1"/>
  <c r="G828" i="3" s="1"/>
  <c r="AG828" i="3"/>
  <c r="AH828" i="3"/>
  <c r="E828" i="3"/>
  <c r="H828" i="3" s="1"/>
  <c r="F828" i="3" l="1"/>
  <c r="I828" i="3"/>
  <c r="J828" i="3"/>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AD838" i="3"/>
  <c r="U837" i="3" l="1"/>
  <c r="Y836" i="3"/>
  <c r="T838" i="3"/>
  <c r="AH838" i="3" s="1"/>
  <c r="E838" i="3" l="1"/>
  <c r="H838" i="3" s="1"/>
  <c r="D838" i="3"/>
  <c r="AG838" i="3"/>
  <c r="K838" i="3" l="1"/>
  <c r="AE838" i="3" s="1"/>
  <c r="F838" i="3"/>
  <c r="G838" i="3"/>
  <c r="V838" i="3" l="1"/>
  <c r="A839" i="3"/>
  <c r="B839" i="3" s="1"/>
  <c r="I838" i="3"/>
  <c r="J838" i="3"/>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AD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AD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AD868" i="3"/>
  <c r="Z868" i="3"/>
  <c r="AA868" i="3"/>
  <c r="AC868" i="3"/>
  <c r="P868" i="3"/>
  <c r="Q868" i="3" s="1"/>
  <c r="R868" i="3" s="1"/>
  <c r="S868" i="3" s="1"/>
  <c r="T868" i="3" l="1"/>
  <c r="U867" i="3"/>
  <c r="Y866" i="3"/>
  <c r="E868" i="3" l="1"/>
  <c r="H868" i="3" s="1"/>
  <c r="K868" i="3" s="1"/>
  <c r="AE868" i="3" s="1"/>
  <c r="AH868" i="3"/>
  <c r="D868" i="3"/>
  <c r="G868" i="3" s="1"/>
  <c r="AG868" i="3"/>
  <c r="F868" i="3" l="1"/>
  <c r="I868" i="3"/>
  <c r="J868" i="3"/>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D878" i="3"/>
  <c r="AC878" i="3"/>
  <c r="AA878" i="3"/>
  <c r="P878" i="3"/>
  <c r="Q878" i="3" s="1"/>
  <c r="R878" i="3" s="1"/>
  <c r="S878" i="3" s="1"/>
  <c r="T878" i="3" l="1"/>
  <c r="E878" i="3" s="1"/>
  <c r="H878" i="3" s="1"/>
  <c r="D878" i="3" l="1"/>
  <c r="G878" i="3" s="1"/>
  <c r="AG878" i="3"/>
  <c r="AH878" i="3"/>
  <c r="K878" i="3"/>
  <c r="AE878" i="3" s="1"/>
  <c r="F878" i="3" l="1"/>
  <c r="I878" i="3"/>
  <c r="J878" i="3"/>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D888" i="3"/>
  <c r="AA888" i="3"/>
  <c r="Z888" i="3"/>
  <c r="P888" i="3"/>
  <c r="Q888" i="3" s="1"/>
  <c r="R888" i="3" s="1"/>
  <c r="S888" i="3" s="1"/>
  <c r="T888" i="3" l="1"/>
  <c r="U887" i="3"/>
  <c r="Y886" i="3"/>
  <c r="E888" i="3" l="1"/>
  <c r="H888" i="3" s="1"/>
  <c r="K888" i="3" s="1"/>
  <c r="AE888" i="3" s="1"/>
  <c r="D888" i="3"/>
  <c r="G888" i="3" s="1"/>
  <c r="AG888" i="3"/>
  <c r="AH888" i="3"/>
  <c r="F888" i="3" l="1"/>
  <c r="I888" i="3"/>
  <c r="J888" i="3"/>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AD898" i="3"/>
  <c r="P898" i="3"/>
  <c r="Q898" i="3" s="1"/>
  <c r="R898" i="3" s="1"/>
  <c r="S898" i="3" s="1"/>
  <c r="Z898" i="3"/>
  <c r="AC898" i="3"/>
  <c r="U897" i="3"/>
  <c r="Y896" i="3"/>
  <c r="T898" i="3" l="1"/>
  <c r="D898" i="3" s="1"/>
  <c r="G898" i="3" l="1"/>
  <c r="AG898" i="3"/>
  <c r="E898" i="3"/>
  <c r="H898" i="3" s="1"/>
  <c r="AH898" i="3"/>
  <c r="F898" i="3" l="1"/>
  <c r="I898" i="3"/>
  <c r="J898" i="3"/>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D908" i="3"/>
  <c r="AC908" i="3"/>
  <c r="T908" i="3" l="1"/>
  <c r="L907" i="3"/>
  <c r="AG908" i="3" l="1"/>
  <c r="AH908" i="3"/>
  <c r="U907" i="3"/>
  <c r="E908" i="3" s="1"/>
  <c r="H908" i="3" s="1"/>
  <c r="Y906" i="3"/>
  <c r="D908" i="3" l="1"/>
  <c r="G908" i="3" s="1"/>
  <c r="K908" i="3"/>
  <c r="AE908" i="3" s="1"/>
  <c r="F908" i="3" l="1"/>
  <c r="I908" i="3"/>
  <c r="J908" i="3"/>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D918" i="3"/>
  <c r="AA918" i="3"/>
  <c r="Z918" i="3"/>
  <c r="P918" i="3"/>
  <c r="Q918" i="3" s="1"/>
  <c r="R918" i="3" s="1"/>
  <c r="S918" i="3" s="1"/>
  <c r="T918" i="3" l="1"/>
  <c r="U917" i="3"/>
  <c r="Y916" i="3"/>
  <c r="E918" i="3" l="1"/>
  <c r="H918" i="3" s="1"/>
  <c r="K918" i="3" s="1"/>
  <c r="AE918" i="3" s="1"/>
  <c r="AH918" i="3"/>
  <c r="D918" i="3"/>
  <c r="G918" i="3" s="1"/>
  <c r="AG918" i="3"/>
  <c r="F918" i="3" l="1"/>
  <c r="I918" i="3"/>
  <c r="J918" i="3"/>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D928" i="3"/>
  <c r="AA928" i="3"/>
  <c r="Z928" i="3"/>
  <c r="P928" i="3"/>
  <c r="Q928" i="3" s="1"/>
  <c r="R928" i="3" s="1"/>
  <c r="S928" i="3" s="1"/>
  <c r="T928" i="3" l="1"/>
  <c r="D928" i="3" s="1"/>
  <c r="AH928" i="3" l="1"/>
  <c r="E928" i="3"/>
  <c r="H928" i="3" s="1"/>
  <c r="K928" i="3" s="1"/>
  <c r="AE928" i="3" s="1"/>
  <c r="AG928" i="3"/>
  <c r="G928" i="3"/>
  <c r="F928" i="3" l="1"/>
  <c r="I928" i="3"/>
  <c r="J928" i="3"/>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AD938" i="3"/>
  <c r="T938" i="3" l="1"/>
  <c r="AG938" i="3" s="1"/>
  <c r="U937" i="3"/>
  <c r="Y936" i="3"/>
  <c r="D938" i="3" l="1"/>
  <c r="AH938" i="3"/>
  <c r="E938" i="3"/>
  <c r="H938" i="3" s="1"/>
  <c r="F938" i="3" l="1"/>
  <c r="G938" i="3"/>
  <c r="J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AD948" i="3"/>
  <c r="Z948" i="3"/>
  <c r="AC948" i="3"/>
  <c r="U947" i="3" l="1"/>
  <c r="Y946" i="3"/>
  <c r="T948" i="3"/>
  <c r="AH948" i="3" s="1"/>
  <c r="AG948" i="3" l="1"/>
  <c r="E948" i="3"/>
  <c r="H948" i="3" s="1"/>
  <c r="D948" i="3"/>
  <c r="K948" i="3" l="1"/>
  <c r="AE948" i="3" s="1"/>
  <c r="F948" i="3"/>
  <c r="G948" i="3"/>
  <c r="I948" i="3" l="1"/>
  <c r="J948" i="3"/>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D955" i="3"/>
  <c r="AC955" i="3"/>
  <c r="Z955" i="3"/>
  <c r="U954" i="3" l="1"/>
  <c r="Y953" i="3"/>
  <c r="T955" i="3"/>
  <c r="AG955" i="3" s="1"/>
  <c r="AH955" i="3" l="1"/>
  <c r="D955" i="3"/>
  <c r="E955" i="3"/>
  <c r="H955" i="3" s="1"/>
  <c r="F955" i="3" l="1"/>
  <c r="G955" i="3"/>
  <c r="K955" i="3"/>
  <c r="AE955" i="3" s="1"/>
  <c r="I955" i="3" l="1"/>
  <c r="J955" i="3"/>
  <c r="M955" i="3"/>
  <c r="N955" i="3" s="1"/>
  <c r="V955" i="3"/>
  <c r="A956" i="3"/>
  <c r="B956" i="3" s="1"/>
  <c r="W955" i="3" l="1"/>
  <c r="L955" i="3"/>
  <c r="AA956" i="3"/>
  <c r="P956" i="3"/>
  <c r="Q956" i="3" s="1"/>
  <c r="R956" i="3" s="1"/>
  <c r="S956" i="3" s="1"/>
  <c r="Z956" i="3"/>
  <c r="AD956" i="3"/>
  <c r="AC956" i="3"/>
  <c r="U955" i="3" l="1"/>
  <c r="Y954" i="3"/>
  <c r="T956" i="3"/>
  <c r="AH956" i="3" s="1"/>
  <c r="AG956" i="3" l="1"/>
  <c r="E956" i="3"/>
  <c r="H956" i="3" s="1"/>
  <c r="K956" i="3" s="1"/>
  <c r="AE956" i="3" s="1"/>
  <c r="D956" i="3"/>
  <c r="V956" i="3" l="1"/>
  <c r="A957" i="3"/>
  <c r="B957" i="3" s="1"/>
  <c r="F956" i="3"/>
  <c r="G956" i="3"/>
  <c r="I956" i="3" l="1"/>
  <c r="W956" i="3" s="1"/>
  <c r="J956" i="3"/>
  <c r="M956" i="3"/>
  <c r="N956" i="3" s="1"/>
  <c r="AA957" i="3"/>
  <c r="AD957" i="3"/>
  <c r="Z957" i="3"/>
  <c r="P957" i="3"/>
  <c r="Q957" i="3" s="1"/>
  <c r="R957" i="3" s="1"/>
  <c r="S957" i="3" s="1"/>
  <c r="AC957" i="3"/>
  <c r="T957" i="3" l="1"/>
  <c r="L956" i="3"/>
  <c r="AG957" i="3" l="1"/>
  <c r="U956" i="3"/>
  <c r="E957" i="3" s="1"/>
  <c r="H957" i="3" s="1"/>
  <c r="AH957" i="3"/>
  <c r="Y955" i="3"/>
  <c r="D957" i="3" l="1"/>
  <c r="G957" i="3" s="1"/>
  <c r="K957" i="3"/>
  <c r="AE957" i="3" s="1"/>
  <c r="F957" i="3" l="1"/>
  <c r="I957" i="3"/>
  <c r="J957" i="3"/>
  <c r="M957" i="3"/>
  <c r="N957" i="3" s="1"/>
  <c r="V957" i="3"/>
  <c r="A958" i="3"/>
  <c r="B958" i="3" s="1"/>
  <c r="W957" i="3" l="1"/>
  <c r="L957" i="3"/>
  <c r="AC958" i="3"/>
  <c r="AA958" i="3"/>
  <c r="P958" i="3"/>
  <c r="Q958" i="3" s="1"/>
  <c r="R958" i="3" s="1"/>
  <c r="S958" i="3" s="1"/>
  <c r="Z958" i="3"/>
  <c r="AD958" i="3"/>
  <c r="T958" i="3" l="1"/>
  <c r="AH958" i="3" s="1"/>
  <c r="U957" i="3"/>
  <c r="Y956" i="3"/>
  <c r="AG958" i="3" l="1"/>
  <c r="D958" i="3"/>
  <c r="E958" i="3"/>
  <c r="H958" i="3" s="1"/>
  <c r="K958" i="3" l="1"/>
  <c r="AE958" i="3" s="1"/>
  <c r="F958" i="3"/>
  <c r="G958" i="3"/>
  <c r="V958" i="3" l="1"/>
  <c r="A959" i="3"/>
  <c r="B959" i="3" s="1"/>
  <c r="I958" i="3"/>
  <c r="J958" i="3"/>
  <c r="M958" i="3"/>
  <c r="N958" i="3" s="1"/>
  <c r="W958" i="3" l="1"/>
  <c r="L958" i="3"/>
  <c r="Z959" i="3"/>
  <c r="AC959" i="3"/>
  <c r="P959" i="3"/>
  <c r="Q959" i="3" s="1"/>
  <c r="R959" i="3" s="1"/>
  <c r="S959" i="3" s="1"/>
  <c r="AA959" i="3"/>
  <c r="AD959" i="3"/>
  <c r="T959" i="3" l="1"/>
  <c r="AH959" i="3" s="1"/>
  <c r="U958" i="3"/>
  <c r="Y957" i="3"/>
  <c r="AG959" i="3" l="1"/>
  <c r="E959" i="3"/>
  <c r="H959" i="3" s="1"/>
  <c r="K959" i="3" s="1"/>
  <c r="AE959" i="3" s="1"/>
  <c r="D959" i="3"/>
  <c r="F959" i="3" l="1"/>
  <c r="G959" i="3"/>
  <c r="V959" i="3"/>
  <c r="A960" i="3"/>
  <c r="B960" i="3" s="1"/>
  <c r="AD960" i="3" l="1"/>
  <c r="Z960" i="3"/>
  <c r="AA960" i="3"/>
  <c r="P960" i="3"/>
  <c r="Q960" i="3" s="1"/>
  <c r="R960" i="3" s="1"/>
  <c r="S960" i="3" s="1"/>
  <c r="AC960" i="3"/>
  <c r="I959" i="3"/>
  <c r="W959" i="3" s="1"/>
  <c r="J959" i="3"/>
  <c r="M959" i="3"/>
  <c r="N959" i="3" s="1"/>
  <c r="T960" i="3" l="1"/>
  <c r="L959" i="3"/>
  <c r="U959" i="3" l="1"/>
  <c r="E960" i="3" s="1"/>
  <c r="H960" i="3" s="1"/>
  <c r="AG960" i="3"/>
  <c r="AH960" i="3"/>
  <c r="Y958" i="3"/>
  <c r="D960" i="3" l="1"/>
  <c r="G960" i="3" s="1"/>
  <c r="K960" i="3"/>
  <c r="AE960" i="3" s="1"/>
  <c r="F960" i="3" l="1"/>
  <c r="I960" i="3"/>
  <c r="J960" i="3"/>
  <c r="M960" i="3"/>
  <c r="N960" i="3" s="1"/>
  <c r="V960" i="3"/>
  <c r="A961" i="3"/>
  <c r="B961" i="3" s="1"/>
  <c r="W960" i="3" l="1"/>
  <c r="P961" i="3"/>
  <c r="Q961" i="3" s="1"/>
  <c r="R961" i="3" s="1"/>
  <c r="S961" i="3" s="1"/>
  <c r="AD961" i="3"/>
  <c r="AC961" i="3"/>
  <c r="Z961" i="3"/>
  <c r="AA961" i="3"/>
  <c r="L960" i="3"/>
  <c r="U960" i="3" l="1"/>
  <c r="Y959" i="3"/>
  <c r="T961" i="3"/>
  <c r="D961" i="3" l="1"/>
  <c r="G961" i="3" s="1"/>
  <c r="AH961" i="3"/>
  <c r="AG961" i="3"/>
  <c r="E961" i="3"/>
  <c r="H961" i="3" s="1"/>
  <c r="K961" i="3" l="1"/>
  <c r="AE961" i="3" s="1"/>
  <c r="I961" i="3"/>
  <c r="J961" i="3"/>
  <c r="M961" i="3"/>
  <c r="N961" i="3" s="1"/>
  <c r="F961" i="3"/>
  <c r="L961" i="3" l="1"/>
  <c r="V961" i="3"/>
  <c r="W961" i="3" s="1"/>
  <c r="A962" i="3"/>
  <c r="B962" i="3" s="1"/>
  <c r="Z962" i="3" l="1"/>
  <c r="AA962" i="3"/>
  <c r="P962" i="3"/>
  <c r="Q962" i="3" s="1"/>
  <c r="R962" i="3" s="1"/>
  <c r="S962" i="3" s="1"/>
  <c r="AC962" i="3"/>
  <c r="AD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AD963" i="3"/>
  <c r="I962" i="3"/>
  <c r="W962" i="3" s="1"/>
  <c r="J962" i="3"/>
  <c r="M962" i="3"/>
  <c r="N962" i="3" s="1"/>
  <c r="T963" i="3" l="1"/>
  <c r="L962" i="3"/>
  <c r="U962" i="3" l="1"/>
  <c r="E963" i="3" s="1"/>
  <c r="H963" i="3" s="1"/>
  <c r="AG963" i="3"/>
  <c r="AH963" i="3"/>
  <c r="Y961" i="3"/>
  <c r="D963" i="3" l="1"/>
  <c r="G963" i="3" s="1"/>
  <c r="K963" i="3"/>
  <c r="AE963" i="3" s="1"/>
  <c r="F963" i="3" l="1"/>
  <c r="I963" i="3"/>
  <c r="J963" i="3"/>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AD968" i="3"/>
  <c r="L967" i="3" l="1"/>
  <c r="T968" i="3"/>
  <c r="AH968" i="3" l="1"/>
  <c r="AG968" i="3"/>
  <c r="U967" i="3"/>
  <c r="E968" i="3" s="1"/>
  <c r="H968" i="3" s="1"/>
  <c r="Y966" i="3"/>
  <c r="K968" i="3" l="1"/>
  <c r="AE968" i="3" s="1"/>
  <c r="D968" i="3"/>
  <c r="V968" i="3" l="1"/>
  <c r="A969" i="3"/>
  <c r="B969" i="3" s="1"/>
  <c r="F968" i="3"/>
  <c r="G968" i="3"/>
  <c r="I968" i="3" l="1"/>
  <c r="W968" i="3" s="1"/>
  <c r="J968" i="3"/>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AD978" i="3"/>
  <c r="Z978" i="3"/>
  <c r="AA978" i="3"/>
  <c r="P978" i="3"/>
  <c r="Q978" i="3" s="1"/>
  <c r="R978" i="3" s="1"/>
  <c r="S978" i="3" s="1"/>
  <c r="T978" i="3" l="1"/>
  <c r="U977" i="3"/>
  <c r="Y976" i="3"/>
  <c r="D978" i="3" l="1"/>
  <c r="G978" i="3" s="1"/>
  <c r="E978" i="3"/>
  <c r="H978" i="3" s="1"/>
  <c r="K978" i="3" s="1"/>
  <c r="AE978" i="3" s="1"/>
  <c r="AH978" i="3"/>
  <c r="AG978" i="3"/>
  <c r="F978" i="3" l="1"/>
  <c r="I978" i="3"/>
  <c r="J978" i="3"/>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D988" i="3"/>
  <c r="AA988" i="3"/>
  <c r="P988" i="3"/>
  <c r="Q988" i="3" s="1"/>
  <c r="R988" i="3" s="1"/>
  <c r="S988" i="3" s="1"/>
  <c r="L987" i="3" l="1"/>
  <c r="T988" i="3"/>
  <c r="AH988" i="3" l="1"/>
  <c r="U987" i="3"/>
  <c r="E988" i="3" s="1"/>
  <c r="H988" i="3" s="1"/>
  <c r="AG988" i="3"/>
  <c r="Y986" i="3"/>
  <c r="D988" i="3" l="1"/>
  <c r="G988" i="3" s="1"/>
  <c r="K988" i="3"/>
  <c r="AE988" i="3" s="1"/>
  <c r="F988" i="3" l="1"/>
  <c r="I988" i="3"/>
  <c r="J988" i="3"/>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D998" i="3"/>
  <c r="AC998" i="3"/>
  <c r="AA998" i="3"/>
  <c r="T998" i="3" l="1"/>
  <c r="AG998" i="3" s="1"/>
  <c r="U997" i="3"/>
  <c r="Y996" i="3"/>
  <c r="E998" i="3" l="1"/>
  <c r="H998" i="3" s="1"/>
  <c r="K998" i="3" s="1"/>
  <c r="AE998" i="3" s="1"/>
  <c r="AH998" i="3"/>
  <c r="D998" i="3"/>
  <c r="V998" i="3" l="1"/>
  <c r="A999" i="3"/>
  <c r="B999" i="3" s="1"/>
  <c r="F998" i="3"/>
  <c r="G998" i="3"/>
  <c r="I998" i="3" l="1"/>
  <c r="W998" i="3" s="1"/>
  <c r="J998" i="3"/>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s="1"/>
  <c r="H115" i="7" l="1"/>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<sst xmlns="http://schemas.openxmlformats.org/spreadsheetml/2006/main" count="1732" uniqueCount="573">
  <si>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</si>
  <si>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</si>
  <si>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</si>
  <si>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</si>
  <si>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</si>
  <si>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</si>
  <si>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</si>
  <si>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</si>
  <si>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</si>
  <si>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</si>
  <si>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</si>
  <si>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</si>
  <si>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</si>
  <si>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</si>
  <si>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</si>
  <si>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</si>
  <si>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</si>
  <si>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</si>
  <si>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</si>
  <si>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</si>
  <si>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</si>
  <si>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</si>
  <si>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</si>
  <si>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</si>
  <si>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</si>
  <si>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</si>
  <si>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</si>
  <si>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</si>
  <si>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</si>
  <si>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</si>
  <si>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</si>
  <si>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</si>
  <si>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</si>
  <si>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</si>
  <si>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</si>
  <si>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</si>
  <si>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</si>
  <si>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</si>
  <si>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</si>
  <si>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</si>
  <si>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</si>
  <si>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</si>
  <si>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</si>
  <si>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</si>
  <si>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</si>
  <si>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</si>
  <si>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</si>
  <si>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</si>
  <si>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</si>
  <si>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</si>
  <si>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</si>
  <si>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</si>
  <si>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</si>
  <si>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</si>
  <si>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</si>
  <si>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</si>
  <si>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</si>
  <si>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</si>
  <si>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</si>
  <si>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</si>
  <si>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</si>
  <si>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</si>
  <si>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</si>
  <si>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</si>
  <si>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</si>
  <si>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</si>
  <si>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</si>
  <si>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</si>
  <si>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</si>
  <si>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</si>
  <si>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</si>
  <si>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</si>
  <si>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</si>
  <si>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</si>
  <si>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</si>
  <si>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</si>
  <si>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</si>
  <si>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</si>
  <si>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</si>
  <si>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</si>
  <si>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</si>
  <si>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</si>
  <si>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</si>
  <si>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</si>
  <si>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</si>
  <si>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</si>
  <si>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</si>
  <si>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</si>
  <si>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</si>
  <si>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</si>
  <si>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</si>
  <si>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</si>
  <si>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</si>
  <si>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</si>
  <si>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</si>
  <si>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</si>
  <si>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</si>
  <si>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</si>
  <si>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</si>
  <si>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</si>
  <si>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</si>
  <si>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</si>
  <si>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</si>
  <si>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</si>
  <si>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</si>
  <si>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</si>
  <si>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</si>
  <si>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</si>
  <si>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</si>
  <si>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</si>
  <si>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</si>
  <si>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</si>
  <si>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</si>
  <si>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</si>
  <si>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</si>
  <si>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</si>
  <si>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</si>
  <si>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</si>
  <si>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</si>
  <si>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</si>
  <si>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</si>
  <si>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</si>
  <si>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</si>
  <si>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</si>
  <si>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</si>
  <si>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</si>
  <si>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</si>
  <si>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</si>
  <si>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</si>
  <si>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</si>
  <si>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</si>
  <si>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</si>
  <si>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</si>
  <si>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</si>
  <si>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</si>
  <si>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</si>
  <si>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</si>
  <si>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</si>
  <si>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</si>
  <si>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</si>
  <si>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</si>
  <si>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</si>
  <si>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</si>
  <si>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</si>
  <si>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</si>
  <si>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</si>
  <si>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</si>
  <si>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</si>
  <si>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</si>
  <si>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</si>
  <si>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</si>
  <si>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</si>
  <si>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</si>
  <si>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</si>
  <si>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</si>
  <si>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</si>
  <si>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</si>
  <si>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</si>
  <si>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</si>
  <si>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</si>
  <si>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</si>
  <si>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</si>
  <si>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</si>
  <si>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</si>
  <si>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</si>
  <si>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</si>
  <si>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</si>
  <si>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</si>
  <si>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</si>
  <si>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</si>
  <si>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</si>
  <si>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</si>
  <si>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</si>
  <si>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</si>
  <si>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</si>
  <si>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</si>
  <si>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</si>
  <si>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</si>
  <si>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</si>
  <si>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</si>
  <si>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</si>
  <si>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</si>
  <si>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</si>
  <si>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</si>
  <si>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</si>
  <si>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</si>
  <si>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</si>
  <si>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</si>
  <si>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</si>
  <si>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</si>
  <si>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</si>
  <si>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</si>
  <si>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</si>
  <si>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</si>
  <si>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</si>
  <si>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</si>
  <si>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</si>
  <si>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</si>
  <si>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</si>
  <si>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</si>
  <si>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</si>
  <si>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</si>
  <si>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</si>
  <si>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</si>
  <si>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</si>
  <si>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</si>
  <si>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</si>
  <si>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</si>
  <si>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</si>
  <si>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</si>
  <si>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</si>
  <si>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</si>
  <si>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</si>
  <si>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</si>
  <si>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</si>
  <si>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</si>
  <si>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</si>
  <si>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</si>
  <si>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</si>
  <si>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</si>
  <si>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</si>
  <si>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</si>
  <si>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</si>
  <si>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</si>
  <si>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</si>
  <si>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</si>
  <si>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</si>
  <si>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</si>
  <si>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</si>
  <si>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</si>
  <si>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</si>
  <si>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</si>
  <si>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</si>
  <si>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</si>
  <si>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</si>
  <si>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</si>
  <si>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</si>
  <si>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</si>
  <si>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</si>
  <si>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</si>
  <si>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</si>
  <si>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</si>
  <si>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</si>
  <si>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</si>
  <si>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</si>
  <si>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</si>
  <si>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</si>
  <si>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</si>
  <si>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</si>
  <si>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</si>
  <si>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</si>
  <si>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</si>
  <si>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</si>
  <si>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</si>
  <si>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</si>
  <si>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</si>
  <si>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</si>
  <si>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</si>
  <si>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</si>
  <si>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</si>
  <si>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</si>
  <si>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</si>
  <si>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</si>
  <si>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</si>
  <si>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</si>
  <si>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</si>
  <si>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</si>
  <si>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</si>
  <si>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</si>
  <si>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</si>
  <si>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</si>
  <si>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</si>
  <si>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</si>
  <si>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</si>
  <si>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</si>
  <si>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</si>
  <si>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</si>
  <si>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</si>
  <si>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</si>
  <si>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</si>
  <si>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</si>
  <si>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</si>
  <si>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</si>
  <si>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</si>
  <si>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</si>
  <si>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</si>
  <si>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</si>
  <si>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</si>
  <si>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</si>
  <si>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</si>
  <si>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</si>
  <si>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</si>
  <si>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</si>
  <si>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</si>
  <si>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</si>
  <si>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</si>
  <si>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</si>
  <si>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</si>
  <si>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</si>
  <si>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</si>
  <si>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</si>
  <si>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</si>
  <si>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</si>
  <si>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</si>
  <si>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</si>
  <si>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</si>
  <si>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</si>
  <si>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</si>
  <si>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</si>
  <si>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</si>
  <si>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</si>
  <si>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</si>
  <si>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</si>
  <si>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</si>
  <si>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</si>
  <si>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</si>
  <si>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</si>
  <si>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</si>
  <si>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</si>
  <si>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</si>
  <si>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</si>
  <si>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</si>
  <si>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</si>
  <si>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</si>
  <si>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</si>
  <si>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</si>
  <si>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</si>
  <si>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</si>
  <si>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</si>
  <si>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</si>
  <si>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</si>
  <si>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</si>
  <si>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</si>
  <si>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</si>
  <si>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</si>
  <si>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</si>
  <si>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</si>
  <si>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</si>
  <si>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</si>
  <si>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</si>
  <si>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</si>
  <si>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</si>
  <si>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</si>
  <si>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</si>
  <si>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</si>
  <si>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</si>
  <si>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</si>
  <si>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</si>
  <si>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</si>
  <si>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</si>
  <si>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</si>
  <si>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</si>
  <si>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</si>
  <si>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</si>
  <si>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</si>
  <si>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</si>
  <si>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</si>
  <si>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</si>
  <si>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</si>
  <si>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</si>
  <si>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</si>
  <si>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</si>
  <si>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</si>
  <si>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</si>
  <si>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</si>
  <si>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</si>
  <si>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</si>
  <si>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</si>
  <si>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</si>
  <si>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</si>
  <si>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</si>
  <si>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</si>
  <si>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</si>
  <si>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</si>
  <si>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</si>
  <si>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</si>
  <si>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</si>
  <si>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</si>
  <si>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</si>
  <si>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</si>
  <si>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</si>
  <si>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</si>
  <si>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</si>
  <si>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</si>
  <si>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</si>
  <si>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</si>
  <si>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</si>
  <si>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</si>
  <si>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</si>
  <si>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</si>
  <si>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</si>
  <si>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</si>
  <si>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</si>
  <si>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</si>
  <si>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</si>
  <si>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</si>
  <si>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</si>
  <si>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</si>
  <si>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</si>
  <si>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</si>
  <si>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</si>
  <si>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</si>
  <si>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</si>
  <si>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</si>
  <si>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</si>
  <si>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</si>
  <si>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</si>
  <si>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</si>
  <si>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</si>
  <si>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</si>
  <si>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</si>
  <si>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</si>
  <si>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</si>
  <si>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</si>
  <si>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</si>
  <si>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</si>
  <si>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</si>
  <si>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</si>
  <si>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</si>
  <si>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</si>
  <si>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</si>
  <si>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</si>
  <si>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</si>
  <si>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</si>
  <si>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</si>
  <si>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</si>
  <si>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</si>
  <si>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</si>
  <si>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</si>
  <si>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</si>
  <si>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</si>
  <si>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</si>
  <si>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</si>
  <si>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</si>
  <si>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</si>
  <si>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</si>
  <si>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</si>
  <si>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</si>
  <si>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</si>
  <si>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</si>
  <si>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</si>
  <si>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</si>
  <si>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</si>
  <si>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</si>
  <si>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</si>
  <si>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</si>
  <si>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</si>
  <si>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</si>
  <si>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</si>
  <si>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</si>
  <si>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</si>
  <si>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</si>
  <si>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</si>
  <si>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</si>
  <si>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</si>
  <si>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</si>
  <si>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</si>
  <si>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</si>
  <si>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</si>
  <si>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</si>
  <si>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</si>
  <si>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</si>
  <si>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</si>
  <si>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</si>
  <si>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</si>
  <si>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</si>
  <si>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</si>
  <si>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</si>
  <si>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</si>
  <si>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</si>
  <si>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</si>
  <si>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</si>
  <si>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</si>
  <si>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</si>
  <si>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</si>
  <si>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</si>
  <si>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</si>
  <si>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</si>
  <si>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</si>
  <si>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</si>
  <si>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</si>
  <si>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</si>
  <si>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</si>
  <si>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</si>
  <si>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</si>
  <si>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</si>
  <si>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</si>
  <si>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</si>
  <si>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</si>
  <si>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</si>
  <si>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</si>
  <si>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</si>
  <si>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</si>
  <si>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</si>
  <si>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</si>
  <si>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</si>
  <si>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</si>
  <si>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</si>
  <si>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</si>
  <si>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</si>
  <si>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</si>
  <si>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</si>
  <si>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</si>
  <si>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</si>
  <si>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</si>
  <si>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</si>
  <si>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</si>
  <si>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</si>
  <si>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</si>
  <si>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</si>
  <si>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</si>
  <si>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</si>
  <si>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</si>
  <si>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</si>
  <si>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</si>
  <si>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</si>
  <si>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</si>
  <si>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</si>
  <si>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</si>
  <si>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</si>
  <si>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</si>
  <si>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</si>
  <si>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</si>
  <si>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</si>
  <si>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</si>
  <si>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</si>
  <si>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</si>
  <si>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</si>
  <si>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</si>
  <si>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</si>
  <si>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</si>
  <si>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</si>
  <si>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</si>
  <si>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</si>
  <si>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</si>
  <si>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</si>
  <si>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</si>
  <si>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</si>
  <si>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</si>
  <si>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</si>
  <si>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</si>
  <si>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</si>
  <si>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</si>
  <si>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</si>
  <si>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</si>
  <si>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Fusée mono-diamètre,</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</si>
  <si>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</si>
  <si>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</si>
  <si>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</si>
  <si>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</si>
  <si>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</si>
  <si>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</si>
  <si>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</si>
  <si>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</si>
  <si>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</si>
  <si>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</si>
  <si>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</si>
  <si>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</si>
  <si>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</si>
  <si>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</si>
  <si>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</si>
  <si>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</si>
  <si>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</si>
  <si>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</si>
  <si>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</si>
  <si>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</si>
  <si>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</si>
  <si>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avec propu plein</t>
  </si>
  <si>
    <t>Conique (droite)</t>
  </si>
  <si>
    <t>Calculateur: https://fruitychutes.com/help_for_parachutes/parachute-descent-rate-calculator?term=CFC-30-S&amp;weight=3.3</t>
  </si>
  <si>
    <t>noir</t>
  </si>
  <si>
    <t>rouge</t>
  </si>
  <si>
    <t>S&amp;T Sorbonne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</si>
</sst>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77" fontId="2" fillId="4" borderId="2" xfId="2" applyNumberFormat="1" applyFont="1" applyFill="1" applyBorder="1" applyAlignment="1" applyProtection="1">
      <alignment horizontal="center"/>
      <protection locked="0"/>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165" fontId="33" fillId="5" borderId="2" xfId="2" applyNumberFormat="1"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0" fontId="45" fillId="0" borderId="83" xfId="2" applyFont="1" applyBorder="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2" fillId="12" borderId="15" xfId="0" applyFont="1" applyFill="1" applyBorder="1" applyAlignment="1" applyProtection="1">
      <alignment horizontal="center"/>
      <protection hidden="1"/>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166" fontId="2" fillId="17" borderId="46" xfId="0" applyNumberFormat="1" applyFont="1" applyFill="1" applyBorder="1" applyAlignment="1">
      <alignment horizontal="center" vertic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0" fillId="0" borderId="33" xfId="0"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0" borderId="33" xfId="0" applyBorder="1" applyAlignment="1" applyProtection="1">
      <alignment horizontal="center"/>
      <protection locked="0"/>
    </xf>
    <xf numFmtId="0" fontId="0" fillId="30" borderId="21" xfId="0" applyFill="1" applyBorder="1" applyAlignment="1">
      <alignment horizontal="center"/>
    </xf>
    <xf numFmtId="0" fontId="0" fillId="30" borderId="23" xfId="0" applyFill="1"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2" fillId="0" borderId="102" xfId="0" applyFont="1" applyBorder="1" applyAlignment="1">
      <alignment horizontal="center" vertical="center"/>
    </xf>
    <xf numFmtId="0" fontId="2" fillId="0" borderId="12" xfId="0" applyFont="1" applyBorder="1" applyAlignment="1">
      <alignment horizontal="center" vertical="center"/>
    </xf>
    <xf numFmtId="1" fontId="2" fillId="0" borderId="12" xfId="0" applyNumberFormat="1"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75</c:v>
                </c:pt>
                <c:pt idx="2">
                  <c:v>75</c:v>
                </c:pt>
                <c:pt idx="3">
                  <c:v>75</c:v>
                </c:pt>
                <c:pt idx="4">
                  <c:v>75</c:v>
                </c:pt>
                <c:pt idx="5">
                  <c:v>75</c:v>
                </c:pt>
                <c:pt idx="6">
                  <c:v>75</c:v>
                </c:pt>
                <c:pt idx="7">
                  <c:v>0</c:v>
                </c:pt>
              </c:numCache>
            </c:numRef>
          </c:xVal>
          <c:yVal>
            <c:numRef>
              <c:f>Stabilito!$C$124:$C$131</c:f>
              <c:numCache>
                <c:formatCode>0</c:formatCode>
                <c:ptCount val="8"/>
                <c:pt idx="0">
                  <c:v>-700</c:v>
                </c:pt>
                <c:pt idx="1">
                  <c:v>-700</c:v>
                </c:pt>
                <c:pt idx="2">
                  <c:v>-700</c:v>
                </c:pt>
                <c:pt idx="3">
                  <c:v>-700</c:v>
                </c:pt>
                <c:pt idx="4">
                  <c:v>-700</c:v>
                </c:pt>
                <c:pt idx="5">
                  <c:v>-700</c:v>
                </c:pt>
                <c:pt idx="6">
                  <c:v>-2700</c:v>
                </c:pt>
                <c:pt idx="7">
                  <c:v>-2700</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75</c:v>
                </c:pt>
                <c:pt idx="1">
                  <c:v>295</c:v>
                </c:pt>
                <c:pt idx="2">
                  <c:v>295</c:v>
                </c:pt>
                <c:pt idx="3">
                  <c:v>75</c:v>
                </c:pt>
                <c:pt idx="4">
                  <c:v>75</c:v>
                </c:pt>
              </c:numCache>
            </c:numRef>
          </c:xVal>
          <c:yVal>
            <c:numRef>
              <c:f>Stabilito!$C$132:$C$136</c:f>
              <c:numCache>
                <c:formatCode>0</c:formatCode>
                <c:ptCount val="5"/>
                <c:pt idx="0">
                  <c:v>-2340</c:v>
                </c:pt>
                <c:pt idx="1">
                  <c:v>-2650</c:v>
                </c:pt>
                <c:pt idx="2">
                  <c:v>-2860</c:v>
                </c:pt>
                <c:pt idx="3">
                  <c:v>-2700</c:v>
                </c:pt>
                <c:pt idx="4">
                  <c:v>-2340</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-75</c:v>
                </c:pt>
                <c:pt idx="2">
                  <c:v>-75</c:v>
                </c:pt>
                <c:pt idx="3">
                  <c:v>-75</c:v>
                </c:pt>
                <c:pt idx="4">
                  <c:v>-75</c:v>
                </c:pt>
                <c:pt idx="5">
                  <c:v>-75</c:v>
                </c:pt>
                <c:pt idx="6">
                  <c:v>-75</c:v>
                </c:pt>
                <c:pt idx="7">
                  <c:v>0</c:v>
                </c:pt>
              </c:numCache>
            </c:numRef>
          </c:xVal>
          <c:yVal>
            <c:numRef>
              <c:f>Stabilito!$C$124:$C$131</c:f>
              <c:numCache>
                <c:formatCode>0</c:formatCode>
                <c:ptCount val="8"/>
                <c:pt idx="0">
                  <c:v>-700</c:v>
                </c:pt>
                <c:pt idx="1">
                  <c:v>-700</c:v>
                </c:pt>
                <c:pt idx="2">
                  <c:v>-700</c:v>
                </c:pt>
                <c:pt idx="3">
                  <c:v>-700</c:v>
                </c:pt>
                <c:pt idx="4">
                  <c:v>-700</c:v>
                </c:pt>
                <c:pt idx="5">
                  <c:v>-700</c:v>
                </c:pt>
                <c:pt idx="6">
                  <c:v>-2700</c:v>
                </c:pt>
                <c:pt idx="7">
                  <c:v>-2700</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-75</c:v>
                </c:pt>
                <c:pt idx="1">
                  <c:v>-295</c:v>
                </c:pt>
                <c:pt idx="2">
                  <c:v>-295</c:v>
                </c:pt>
                <c:pt idx="3">
                  <c:v>-75</c:v>
                </c:pt>
                <c:pt idx="4">
                  <c:v>-75</c:v>
                </c:pt>
              </c:numCache>
            </c:numRef>
          </c:xVal>
          <c:yVal>
            <c:numRef>
              <c:f>Stabilito!$C$132:$C$136</c:f>
              <c:numCache>
                <c:formatCode>0</c:formatCode>
                <c:ptCount val="5"/>
                <c:pt idx="0">
                  <c:v>-2340</c:v>
                </c:pt>
                <c:pt idx="1">
                  <c:v>-2650</c:v>
                </c:pt>
                <c:pt idx="2">
                  <c:v>-2860</c:v>
                </c:pt>
                <c:pt idx="3">
                  <c:v>-2700</c:v>
                </c:pt>
                <c:pt idx="4">
                  <c:v>-2340</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-1999</c:v>
                </c:pt>
                <c:pt idx="1">
                  <c:v>-1887.4973159255089</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192.0824856273359</c:v>
                </c:pt>
                <c:pt idx="2">
                  <c:v>192.0824856273359</c:v>
                </c:pt>
                <c:pt idx="3">
                  <c:v>0</c:v>
                </c:pt>
              </c:numCache>
            </c:numRef>
          </c:xVal>
          <c:yVal>
            <c:numRef>
              <c:f>Stabilito!$C$151:$C$154</c:f>
              <c:numCache>
                <c:formatCode>0</c:formatCode>
                <c:ptCount val="4"/>
                <c:pt idx="0">
                  <c:v>-2336.9300069503988</c:v>
                </c:pt>
                <c:pt idx="1">
                  <c:v>-2336.9300069503988</c:v>
                </c:pt>
                <c:pt idx="2">
                  <c:v>-2336.9300069503988</c:v>
                </c:pt>
                <c:pt idx="3">
                  <c:v>-2336.9300069503988</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900</c:v>
                </c:pt>
                <c:pt idx="1">
                  <c:v>-900</c:v>
                </c:pt>
              </c:numCache>
            </c:numRef>
          </c:xVal>
          <c:yVal>
            <c:numRef>
              <c:f>Stabilito!$C$168:$C$169</c:f>
              <c:numCache>
                <c:formatCode>0</c:formatCode>
                <c:ptCount val="2"/>
                <c:pt idx="0">
                  <c:v>-2888.6</c:v>
                </c:pt>
                <c:pt idx="1">
                  <c:v>-2888.6</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-49</c:v>
                </c:pt>
                <c:pt idx="1">
                  <c:v>49</c:v>
                </c:pt>
                <c:pt idx="2">
                  <c:v>49</c:v>
                </c:pt>
                <c:pt idx="3">
                  <c:v>-49</c:v>
                </c:pt>
                <c:pt idx="4">
                  <c:v>-49</c:v>
                </c:pt>
              </c:numCache>
            </c:numRef>
          </c:xVal>
          <c:yVal>
            <c:numRef>
              <c:f>Stabilito!$C$170:$C$174</c:f>
              <c:numCache>
                <c:formatCode>0</c:formatCode>
                <c:ptCount val="5"/>
                <c:pt idx="0">
                  <c:v>-1690</c:v>
                </c:pt>
                <c:pt idx="1">
                  <c:v>-1690</c:v>
                </c:pt>
                <c:pt idx="2">
                  <c:v>-2700</c:v>
                </c:pt>
                <c:pt idx="3">
                  <c:v>-2700</c:v>
                </c:pt>
                <c:pt idx="4">
                  <c:v>-1690</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7.5</c:v>
                </c:pt>
                <c:pt idx="2">
                  <c:v>18.75</c:v>
                </c:pt>
                <c:pt idx="3">
                  <c:v>37.5</c:v>
                </c:pt>
                <c:pt idx="4">
                  <c:v>56.25</c:v>
                </c:pt>
                <c:pt idx="5">
                  <c:v>75</c:v>
                </c:pt>
              </c:numCache>
            </c:numRef>
          </c:xVal>
          <c:yVal>
            <c:numRef>
              <c:f>Stabilito!$C$175:$C$180</c:f>
              <c:numCache>
                <c:formatCode>0</c:formatCode>
                <c:ptCount val="6"/>
                <c:pt idx="0">
                  <c:v>0</c:v>
                </c:pt>
                <c:pt idx="1">
                  <c:v>-70</c:v>
                </c:pt>
                <c:pt idx="2">
                  <c:v>-175</c:v>
                </c:pt>
                <c:pt idx="3">
                  <c:v>-350</c:v>
                </c:pt>
                <c:pt idx="4">
                  <c:v>-525</c:v>
                </c:pt>
                <c:pt idx="5">
                  <c:v>-700</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-7.5</c:v>
                </c:pt>
                <c:pt idx="2">
                  <c:v>-18.75</c:v>
                </c:pt>
                <c:pt idx="3">
                  <c:v>-37.5</c:v>
                </c:pt>
                <c:pt idx="4">
                  <c:v>-56.25</c:v>
                </c:pt>
                <c:pt idx="5">
                  <c:v>-75</c:v>
                </c:pt>
              </c:numCache>
            </c:numRef>
          </c:xVal>
          <c:yVal>
            <c:numRef>
              <c:f>Stabilito!$C$175:$C$180</c:f>
              <c:numCache>
                <c:formatCode>0</c:formatCode>
                <c:ptCount val="6"/>
                <c:pt idx="0">
                  <c:v>0</c:v>
                </c:pt>
                <c:pt idx="1">
                  <c:v>-70</c:v>
                </c:pt>
                <c:pt idx="2">
                  <c:v>-175</c:v>
                </c:pt>
                <c:pt idx="3">
                  <c:v>-350</c:v>
                </c:pt>
                <c:pt idx="4">
                  <c:v>-525</c:v>
                </c:pt>
                <c:pt idx="5">
                  <c:v>-700</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-295</c:v>
                </c:pt>
                <c:pt idx="1">
                  <c:v>-185</c:v>
                </c:pt>
                <c:pt idx="2">
                  <c:v>-75</c:v>
                </c:pt>
              </c:numCache>
            </c:numRef>
          </c:xVal>
          <c:yVal>
            <c:numRef>
              <c:f>Stabilito!$C$137:$C$139</c:f>
              <c:numCache>
                <c:formatCode>0</c:formatCode>
                <c:ptCount val="3"/>
                <c:pt idx="0">
                  <c:v>-2950</c:v>
                </c:pt>
                <c:pt idx="1">
                  <c:v>-2950</c:v>
                </c:pt>
                <c:pt idx="2">
                  <c:v>-2950</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-385</c:v>
                </c:pt>
                <c:pt idx="1">
                  <c:v>-385</c:v>
                </c:pt>
                <c:pt idx="2">
                  <c:v>-385</c:v>
                </c:pt>
              </c:numCache>
            </c:numRef>
          </c:xVal>
          <c:yVal>
            <c:numRef>
              <c:f>Stabilito!$C$143:$C$145</c:f>
              <c:numCache>
                <c:formatCode>0</c:formatCode>
                <c:ptCount val="3"/>
                <c:pt idx="0">
                  <c:v>-2340</c:v>
                </c:pt>
                <c:pt idx="1">
                  <c:v>-2495</c:v>
                </c:pt>
                <c:pt idx="2">
                  <c:v>-2650</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-430</c:v>
                </c:pt>
                <c:pt idx="1">
                  <c:v>-430</c:v>
                </c:pt>
                <c:pt idx="2">
                  <c:v>-430</c:v>
                </c:pt>
              </c:numCache>
            </c:numRef>
          </c:xVal>
          <c:yVal>
            <c:numRef>
              <c:f>Stabilito!$C$146:$C$148</c:f>
              <c:numCache>
                <c:formatCode>0</c:formatCode>
                <c:ptCount val="3"/>
                <c:pt idx="0">
                  <c:v>-2650</c:v>
                </c:pt>
                <c:pt idx="1">
                  <c:v>-2755</c:v>
                </c:pt>
                <c:pt idx="2">
                  <c:v>-2860</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430</c:v>
                </c:pt>
                <c:pt idx="1">
                  <c:v>430</c:v>
                </c:pt>
                <c:pt idx="2">
                  <c:v>430</c:v>
                </c:pt>
              </c:numCache>
            </c:numRef>
          </c:xVal>
          <c:yVal>
            <c:numRef>
              <c:f>Stabilito!$C$140:$C$142</c:f>
              <c:numCache>
                <c:formatCode>0</c:formatCode>
                <c:ptCount val="3"/>
                <c:pt idx="0">
                  <c:v>-2340</c:v>
                </c:pt>
                <c:pt idx="1">
                  <c:v>-2520</c:v>
                </c:pt>
                <c:pt idx="2">
                  <c:v>-2700</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-430</c:v>
                </c:pt>
                <c:pt idx="1">
                  <c:v>-430</c:v>
                </c:pt>
                <c:pt idx="2">
                  <c:v>-430</c:v>
                </c:pt>
              </c:numCache>
            </c:numRef>
          </c:xVal>
          <c:yVal>
            <c:numRef>
              <c:f>Stabilito!$C$155:$C$157</c:f>
              <c:numCache>
                <c:formatCode>0</c:formatCode>
                <c:ptCount val="3"/>
                <c:pt idx="0">
                  <c:v>-1943.2486579627544</c:v>
                </c:pt>
                <c:pt idx="1">
                  <c:v>-2140.0893324565768</c:v>
                </c:pt>
                <c:pt idx="2">
                  <c:v>-2336.9300069503988</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2.2528667130026587</c:v>
                </c:pt>
                <c:pt idx="1">
                  <c:v>2.2528667130026587</c:v>
                </c:pt>
                <c:pt idx="2">
                  <c:v>2.9962179401659328</c:v>
                </c:pt>
                <c:pt idx="3">
                  <c:v>2.9962179401659328</c:v>
                </c:pt>
              </c:numCache>
            </c:numRef>
          </c:xVal>
          <c:yVal>
            <c:numRef>
              <c:f>Stabilito!$C$190:$C$193</c:f>
              <c:numCache>
                <c:formatCode>0.00</c:formatCode>
                <c:ptCount val="4"/>
                <c:pt idx="0">
                  <c:v>19.208248562733591</c:v>
                </c:pt>
                <c:pt idx="1">
                  <c:v>19.208248562733591</c:v>
                </c:pt>
                <c:pt idx="2">
                  <c:v>19.208248562733591</c:v>
                </c:pt>
                <c:pt idx="3">
                  <c:v>19.208248562733591</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2.9962179401659328</c:v>
                </c:pt>
                <c:pt idx="1">
                  <c:v>2.2528667130026587</c:v>
                </c:pt>
              </c:numCache>
            </c:numRef>
          </c:xVal>
          <c:yVal>
            <c:numRef>
              <c:f>Stabilito!$C$193:$C$194</c:f>
              <c:numCache>
                <c:formatCode>0.00</c:formatCode>
                <c:ptCount val="2"/>
                <c:pt idx="0">
                  <c:v>19.208248562733591</c:v>
                </c:pt>
                <c:pt idx="1">
                  <c:v>19.208248562733591</c:v>
                </c:pt>
              </c:numCache>
            </c:numRef>
          </c:yVal>
          <c:smooth val="0"/>
          <c:extLs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#N/A</c:v>
                </c:pt>
              </c:numCache>
            </c:numRef>
          </c:xVal>
          <c:yVal>
            <c:numRef>
              <c:f>Trajecto!$C$121</c:f>
              <c:numCache>
                <c:formatCode>0</c:formatCode>
                <c:ptCount val="1"/>
                <c:pt idx="0">
                  <c:v>#N/A</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8.7924126531848632</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41.383998208233145</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102.63925519122017</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195.3139934222863</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318.99002273412873</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469.6638117788163</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639.2563549817686</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800.01637467573119</c:v>
                </c:pt>
                <c:pt idx="801">
                  <c:v>#N/A</c:v>
                </c:pt>
                <c:pt idx="802">
                  <c:v>#N/A</c:v>
                </c:pt>
                <c:pt idx="803">
                  <c:v>#N/A</c:v>
                </c:pt>
                <c:pt idx="804">
                  <c:v>#N/A</c:v>
                </c:pt>
                <c:pt idx="805">
                  <c:v>#N/A</c:v>
                </c:pt>
                <c:pt idx="806">
                  <c:v>#N/A</c:v>
                </c:pt>
                <c:pt idx="807">
                  <c:v>#N/A</c:v>
                </c:pt>
                <c:pt idx="808">
                  <c:v>#N/A</c:v>
                </c:pt>
                <c:pt idx="809">
                  <c:v>#N/A</c:v>
                </c:pt>
                <c:pt idx="810">
                  <c:v>938.71795888961822</c:v>
                </c:pt>
                <c:pt idx="811">
                  <c:v>#N/A</c:v>
                </c:pt>
                <c:pt idx="812">
                  <c:v>#N/A</c:v>
                </c:pt>
                <c:pt idx="813">
                  <c:v>#N/A</c:v>
                </c:pt>
                <c:pt idx="814">
                  <c:v>#N/A</c:v>
                </c:pt>
                <c:pt idx="815">
                  <c:v>#N/A</c:v>
                </c:pt>
                <c:pt idx="816">
                  <c:v>#N/A</c:v>
                </c:pt>
                <c:pt idx="817">
                  <c:v>#N/A</c:v>
                </c:pt>
                <c:pt idx="818">
                  <c:v>#N/A</c:v>
                </c:pt>
                <c:pt idx="819">
                  <c:v>#N/A</c:v>
                </c:pt>
                <c:pt idx="820">
                  <c:v>1061.2931995583219</c:v>
                </c:pt>
                <c:pt idx="821">
                  <c:v>#N/A</c:v>
                </c:pt>
                <c:pt idx="822">
                  <c:v>#N/A</c:v>
                </c:pt>
                <c:pt idx="823">
                  <c:v>#N/A</c:v>
                </c:pt>
                <c:pt idx="824">
                  <c:v>#N/A</c:v>
                </c:pt>
                <c:pt idx="825">
                  <c:v>#N/A</c:v>
                </c:pt>
                <c:pt idx="826">
                  <c:v>#N/A</c:v>
                </c:pt>
                <c:pt idx="827">
                  <c:v>#N/A</c:v>
                </c:pt>
                <c:pt idx="828">
                  <c:v>#N/A</c:v>
                </c:pt>
                <c:pt idx="829">
                  <c:v>#N/A</c:v>
                </c:pt>
                <c:pt idx="830">
                  <c:v>1171.7779868352602</c:v>
                </c:pt>
                <c:pt idx="831">
                  <c:v>#N/A</c:v>
                </c:pt>
                <c:pt idx="832">
                  <c:v>#N/A</c:v>
                </c:pt>
                <c:pt idx="833">
                  <c:v>#N/A</c:v>
                </c:pt>
                <c:pt idx="834">
                  <c:v>#N/A</c:v>
                </c:pt>
                <c:pt idx="835">
                  <c:v>#N/A</c:v>
                </c:pt>
                <c:pt idx="836">
                  <c:v>#N/A</c:v>
                </c:pt>
                <c:pt idx="837">
                  <c:v>#N/A</c:v>
                </c:pt>
                <c:pt idx="838">
                  <c:v>#N/A</c:v>
                </c:pt>
                <c:pt idx="839">
                  <c:v>#N/A</c:v>
                </c:pt>
                <c:pt idx="840">
                  <c:v>1272.8744195600955</c:v>
                </c:pt>
                <c:pt idx="841">
                  <c:v>#N/A</c:v>
                </c:pt>
                <c:pt idx="842">
                  <c:v>#N/A</c:v>
                </c:pt>
                <c:pt idx="843">
                  <c:v>#N/A</c:v>
                </c:pt>
                <c:pt idx="844">
                  <c:v>#N/A</c:v>
                </c:pt>
                <c:pt idx="845">
                  <c:v>#N/A</c:v>
                </c:pt>
                <c:pt idx="846">
                  <c:v>#N/A</c:v>
                </c:pt>
                <c:pt idx="847">
                  <c:v>#N/A</c:v>
                </c:pt>
                <c:pt idx="848">
                  <c:v>#N/A</c:v>
                </c:pt>
                <c:pt idx="849">
                  <c:v>#N/A</c:v>
                </c:pt>
                <c:pt idx="850">
                  <c:v>1366.4871192540218</c:v>
                </c:pt>
                <c:pt idx="851">
                  <c:v>#N/A</c:v>
                </c:pt>
                <c:pt idx="852">
                  <c:v>#N/A</c:v>
                </c:pt>
                <c:pt idx="853">
                  <c:v>#N/A</c:v>
                </c:pt>
                <c:pt idx="854">
                  <c:v>#N/A</c:v>
                </c:pt>
                <c:pt idx="855">
                  <c:v>#N/A</c:v>
                </c:pt>
                <c:pt idx="856">
                  <c:v>#N/A</c:v>
                </c:pt>
                <c:pt idx="857">
                  <c:v>#N/A</c:v>
                </c:pt>
                <c:pt idx="858">
                  <c:v>#N/A</c:v>
                </c:pt>
                <c:pt idx="859">
                  <c:v>#N/A</c:v>
                </c:pt>
                <c:pt idx="860">
                  <c:v>1454.013149186479</c:v>
                </c:pt>
                <c:pt idx="861">
                  <c:v>#N/A</c:v>
                </c:pt>
                <c:pt idx="862">
                  <c:v>#N/A</c:v>
                </c:pt>
                <c:pt idx="863">
                  <c:v>#N/A</c:v>
                </c:pt>
                <c:pt idx="864">
                  <c:v>#N/A</c:v>
                </c:pt>
                <c:pt idx="865">
                  <c:v>#N/A</c:v>
                </c:pt>
                <c:pt idx="866">
                  <c:v>#N/A</c:v>
                </c:pt>
                <c:pt idx="867">
                  <c:v>#N/A</c:v>
                </c:pt>
                <c:pt idx="868">
                  <c:v>#N/A</c:v>
                </c:pt>
                <c:pt idx="869">
                  <c:v>#N/A</c:v>
                </c:pt>
                <c:pt idx="870">
                  <c:v>1536.5103816685398</c:v>
                </c:pt>
                <c:pt idx="871">
                  <c:v>#N/A</c:v>
                </c:pt>
                <c:pt idx="872">
                  <c:v>#N/A</c:v>
                </c:pt>
                <c:pt idx="873">
                  <c:v>#N/A</c:v>
                </c:pt>
                <c:pt idx="874">
                  <c:v>#N/A</c:v>
                </c:pt>
                <c:pt idx="875">
                  <c:v>#N/A</c:v>
                </c:pt>
                <c:pt idx="876">
                  <c:v>#N/A</c:v>
                </c:pt>
                <c:pt idx="877">
                  <c:v>#N/A</c:v>
                </c:pt>
                <c:pt idx="878">
                  <c:v>#N/A</c:v>
                </c:pt>
                <c:pt idx="879">
                  <c:v>#N/A</c:v>
                </c:pt>
                <c:pt idx="880">
                  <c:v>1614.8008902624897</c:v>
                </c:pt>
                <c:pt idx="881">
                  <c:v>#N/A</c:v>
                </c:pt>
                <c:pt idx="882">
                  <c:v>#N/A</c:v>
                </c:pt>
                <c:pt idx="883">
                  <c:v>#N/A</c:v>
                </c:pt>
                <c:pt idx="884">
                  <c:v>#N/A</c:v>
                </c:pt>
                <c:pt idx="885">
                  <c:v>#N/A</c:v>
                </c:pt>
                <c:pt idx="886">
                  <c:v>#N/A</c:v>
                </c:pt>
                <c:pt idx="887">
                  <c:v>#N/A</c:v>
                </c:pt>
                <c:pt idx="888">
                  <c:v>#N/A</c:v>
                </c:pt>
                <c:pt idx="889">
                  <c:v>#N/A</c:v>
                </c:pt>
                <c:pt idx="890">
                  <c:v>1689.5373188088936</c:v>
                </c:pt>
                <c:pt idx="891">
                  <c:v>#N/A</c:v>
                </c:pt>
                <c:pt idx="892">
                  <c:v>#N/A</c:v>
                </c:pt>
                <c:pt idx="893">
                  <c:v>#N/A</c:v>
                </c:pt>
                <c:pt idx="894">
                  <c:v>#N/A</c:v>
                </c:pt>
                <c:pt idx="895">
                  <c:v>#N/A</c:v>
                </c:pt>
                <c:pt idx="896">
                  <c:v>#N/A</c:v>
                </c:pt>
                <c:pt idx="897">
                  <c:v>#N/A</c:v>
                </c:pt>
                <c:pt idx="898">
                  <c:v>#N/A</c:v>
                </c:pt>
                <c:pt idx="899">
                  <c:v>#N/A</c:v>
                </c:pt>
                <c:pt idx="900">
                  <c:v>1761.2470084728332</c:v>
                </c:pt>
                <c:pt idx="901">
                  <c:v>#N/A</c:v>
                </c:pt>
                <c:pt idx="902">
                  <c:v>#N/A</c:v>
                </c:pt>
                <c:pt idx="903">
                  <c:v>#N/A</c:v>
                </c:pt>
                <c:pt idx="904">
                  <c:v>#N/A</c:v>
                </c:pt>
                <c:pt idx="905">
                  <c:v>#N/A</c:v>
                </c:pt>
                <c:pt idx="906">
                  <c:v>#N/A</c:v>
                </c:pt>
                <c:pt idx="907">
                  <c:v>#N/A</c:v>
                </c:pt>
                <c:pt idx="908">
                  <c:v>#N/A</c:v>
                </c:pt>
                <c:pt idx="909">
                  <c:v>#N/A</c:v>
                </c:pt>
                <c:pt idx="910">
                  <c:v>1830.3621346098964</c:v>
                </c:pt>
                <c:pt idx="911">
                  <c:v>#N/A</c:v>
                </c:pt>
                <c:pt idx="912">
                  <c:v>#N/A</c:v>
                </c:pt>
                <c:pt idx="913">
                  <c:v>#N/A</c:v>
                </c:pt>
                <c:pt idx="914">
                  <c:v>#N/A</c:v>
                </c:pt>
                <c:pt idx="915">
                  <c:v>#N/A</c:v>
                </c:pt>
                <c:pt idx="916">
                  <c:v>#N/A</c:v>
                </c:pt>
                <c:pt idx="917">
                  <c:v>#N/A</c:v>
                </c:pt>
                <c:pt idx="918">
                  <c:v>#N/A</c:v>
                </c:pt>
                <c:pt idx="919">
                  <c:v>#N/A</c:v>
                </c:pt>
                <c:pt idx="920">
                  <c:v>1897.2406610190367</c:v>
                </c:pt>
                <c:pt idx="921">
                  <c:v>#N/A</c:v>
                </c:pt>
                <c:pt idx="922">
                  <c:v>#N/A</c:v>
                </c:pt>
                <c:pt idx="923">
                  <c:v>#N/A</c:v>
                </c:pt>
                <c:pt idx="924">
                  <c:v>#N/A</c:v>
                </c:pt>
                <c:pt idx="925">
                  <c:v>#N/A</c:v>
                </c:pt>
                <c:pt idx="926">
                  <c:v>#N/A</c:v>
                </c:pt>
                <c:pt idx="927">
                  <c:v>#N/A</c:v>
                </c:pt>
                <c:pt idx="928">
                  <c:v>#N/A</c:v>
                </c:pt>
                <c:pt idx="929">
                  <c:v>#N/A</c:v>
                </c:pt>
                <c:pt idx="930">
                  <c:v>1962.1810035601727</c:v>
                </c:pt>
                <c:pt idx="931">
                  <c:v>#N/A</c:v>
                </c:pt>
                <c:pt idx="932">
                  <c:v>#N/A</c:v>
                </c:pt>
                <c:pt idx="933">
                  <c:v>#N/A</c:v>
                </c:pt>
                <c:pt idx="934">
                  <c:v>#N/A</c:v>
                </c:pt>
                <c:pt idx="935">
                  <c:v>#N/A</c:v>
                </c:pt>
                <c:pt idx="936">
                  <c:v>#N/A</c:v>
                </c:pt>
                <c:pt idx="937">
                  <c:v>#N/A</c:v>
                </c:pt>
                <c:pt idx="938">
                  <c:v>#N/A</c:v>
                </c:pt>
                <c:pt idx="939">
                  <c:v>#N/A</c:v>
                </c:pt>
                <c:pt idx="940">
                  <c:v>2025.4321830986548</c:v>
                </c:pt>
                <c:pt idx="941">
                  <c:v>#N/A</c:v>
                </c:pt>
                <c:pt idx="942">
                  <c:v>#N/A</c:v>
                </c:pt>
                <c:pt idx="943">
                  <c:v>#N/A</c:v>
                </c:pt>
                <c:pt idx="944">
                  <c:v>#N/A</c:v>
                </c:pt>
                <c:pt idx="945">
                  <c:v>#N/A</c:v>
                </c:pt>
                <c:pt idx="946">
                  <c:v>#N/A</c:v>
                </c:pt>
                <c:pt idx="947">
                  <c:v>#N/A</c:v>
                </c:pt>
                <c:pt idx="948">
                  <c:v>#N/A</c:v>
                </c:pt>
                <c:pt idx="949">
                  <c:v>#N/A</c:v>
                </c:pt>
                <c:pt idx="950">
                  <c:v>2087.2005910673993</c:v>
                </c:pt>
                <c:pt idx="951">
                  <c:v>#N/A</c:v>
                </c:pt>
                <c:pt idx="952">
                  <c:v>#N/A</c:v>
                </c:pt>
                <c:pt idx="953">
                  <c:v>#N/A</c:v>
                </c:pt>
                <c:pt idx="954">
                  <c:v>#N/A</c:v>
                </c:pt>
                <c:pt idx="955">
                  <c:v>#N/A</c:v>
                </c:pt>
                <c:pt idx="956">
                  <c:v>#N/A</c:v>
                </c:pt>
                <c:pt idx="957">
                  <c:v>#N/A</c:v>
                </c:pt>
                <c:pt idx="958">
                  <c:v>#N/A</c:v>
                </c:pt>
                <c:pt idx="959">
                  <c:v>#N/A</c:v>
                </c:pt>
                <c:pt idx="960">
                  <c:v>2147.6541313449088</c:v>
                </c:pt>
                <c:pt idx="961">
                  <c:v>#N/A</c:v>
                </c:pt>
                <c:pt idx="962">
                  <c:v>#N/A</c:v>
                </c:pt>
                <c:pt idx="963">
                  <c:v>#N/A</c:v>
                </c:pt>
                <c:pt idx="964">
                  <c:v>#N/A</c:v>
                </c:pt>
                <c:pt idx="965">
                  <c:v>#N/A</c:v>
                </c:pt>
                <c:pt idx="966">
                  <c:v>#N/A</c:v>
                </c:pt>
                <c:pt idx="967">
                  <c:v>#N/A</c:v>
                </c:pt>
                <c:pt idx="968">
                  <c:v>#N/A</c:v>
                </c:pt>
                <c:pt idx="969">
                  <c:v>#N/A</c:v>
                </c:pt>
                <c:pt idx="970">
                  <c:v>2206.9243864722152</c:v>
                </c:pt>
                <c:pt idx="971">
                  <c:v>#N/A</c:v>
                </c:pt>
                <c:pt idx="972">
                  <c:v>#N/A</c:v>
                </c:pt>
                <c:pt idx="973">
                  <c:v>#N/A</c:v>
                </c:pt>
                <c:pt idx="974">
                  <c:v>#N/A</c:v>
                </c:pt>
                <c:pt idx="975">
                  <c:v>#N/A</c:v>
                </c:pt>
                <c:pt idx="976">
                  <c:v>#N/A</c:v>
                </c:pt>
                <c:pt idx="977">
                  <c:v>#N/A</c:v>
                </c:pt>
                <c:pt idx="978">
                  <c:v>#N/A</c:v>
                </c:pt>
                <c:pt idx="979">
                  <c:v>#N/A</c:v>
                </c:pt>
                <c:pt idx="980">
                  <c:v>2265.1075681938523</c:v>
                </c:pt>
                <c:pt idx="981">
                  <c:v>#N/A</c:v>
                </c:pt>
                <c:pt idx="982">
                  <c:v>#N/A</c:v>
                </c:pt>
                <c:pt idx="983">
                  <c:v>#N/A</c:v>
                </c:pt>
                <c:pt idx="984">
                  <c:v>#N/A</c:v>
                </c:pt>
                <c:pt idx="985">
                  <c:v>#N/A</c:v>
                </c:pt>
                <c:pt idx="986">
                  <c:v>#N/A</c:v>
                </c:pt>
                <c:pt idx="987">
                  <c:v>#N/A</c:v>
                </c:pt>
                <c:pt idx="988">
                  <c:v>#N/A</c:v>
                </c:pt>
                <c:pt idx="989">
                  <c:v>#N/A</c:v>
                </c:pt>
                <c:pt idx="990">
                  <c:v>2322.2652639867069</c:v>
                </c:pt>
                <c:pt idx="991">
                  <c:v>#N/A</c:v>
                </c:pt>
                <c:pt idx="992">
                  <c:v>#N/A</c:v>
                </c:pt>
                <c:pt idx="993">
                  <c:v>#N/A</c:v>
                </c:pt>
                <c:pt idx="994">
                  <c:v>#N/A</c:v>
                </c:pt>
                <c:pt idx="995">
                  <c:v>#N/A</c:v>
                </c:pt>
                <c:pt idx="996">
                  <c:v>#N/A</c:v>
                </c:pt>
                <c:pt idx="997">
                  <c:v>#N/A</c:v>
                </c:pt>
                <c:pt idx="998">
                  <c:v>#N/A</c:v>
                </c:pt>
                <c:pt idx="999">
                  <c:v>#N/A</c:v>
                </c:pt>
                <c:pt idx="1000">
                  <c:v>2378.4261137962781</c:v>
                </c:pt>
              </c:numCache>
            </c:numRef>
          </c:xVal>
          <c:yVal>
            <c:numRef>
              <c:f>Calculs!$K$4:$K$1004</c:f>
              <c:numCache>
                <c:formatCode>0.00</c:formatCode>
                <c:ptCount val="1001"/>
                <c:pt idx="0">
                  <c:v>0</c:v>
                </c:pt>
                <c:pt idx="1">
                  <c:v>0</c:v>
                </c:pt>
                <c:pt idx="2">
                  <c:v>6.0020307963908244E-4</c:v>
                </c:pt>
                <c:pt idx="3">
                  <c:v>3.1064297722816271E-3</c:v>
                </c:pt>
                <c:pt idx="4">
                  <c:v>8.9304400737679878E-3</c:v>
                </c:pt>
                <c:pt idx="5">
                  <c:v>1.9213038171493942E-2</c:v>
                </c:pt>
                <c:pt idx="6">
                  <c:v>3.4551735190846859E-2</c:v>
                </c:pt>
                <c:pt idx="7">
                  <c:v>5.5272410308980426E-2</c:v>
                </c:pt>
                <c:pt idx="8">
                  <c:v>8.1701311614856109E-2</c:v>
                </c:pt>
                <c:pt idx="9">
                  <c:v>0.11409101034021218</c:v>
                </c:pt>
                <c:pt idx="10">
                  <c:v>0.15254622098685661</c:v>
                </c:pt>
                <c:pt idx="11">
                  <c:v>0.19709767448295912</c:v>
                </c:pt>
                <c:pt idx="12">
                  <c:v>0.24777611687929663</c:v>
                </c:pt>
                <c:pt idx="13">
                  <c:v>0.30461230917663479</c:v>
                </c:pt>
                <c:pt idx="14">
                  <c:v>0.36763702715105351</c:v>
                </c:pt>
                <c:pt idx="15">
                  <c:v>0.43688106117721259</c:v>
                </c:pt>
                <c:pt idx="16">
                  <c:v>0.51237521604955294</c:v>
                </c:pt>
                <c:pt idx="17">
                  <c:v>0.59415031080143055</c:v>
                </c:pt>
                <c:pt idx="18">
                  <c:v>0.68223717852217791</c:v>
                </c:pt>
                <c:pt idx="19">
                  <c:v>0.77666666617209035</c:v>
                </c:pt>
                <c:pt idx="20">
                  <c:v>0.87746963439533288</c:v>
                </c:pt>
                <c:pt idx="21">
                  <c:v>0.98467177246483362</c:v>
                </c:pt>
                <c:pt idx="22">
                  <c:v>1.0982858104545967</c:v>
                </c:pt>
                <c:pt idx="23">
                  <c:v>1.2183166870123663</c:v>
                </c:pt>
                <c:pt idx="24">
                  <c:v>1.344769319957301</c:v>
                </c:pt>
                <c:pt idx="25">
                  <c:v>1.4776486061968197</c:v>
                </c:pt>
                <c:pt idx="26">
                  <c:v>1.6169594216436829</c:v>
                </c:pt>
                <c:pt idx="27">
                  <c:v>1.7627066211333124</c:v>
                </c:pt>
                <c:pt idx="28">
                  <c:v>1.9148950383413548</c:v>
                </c:pt>
                <c:pt idx="29">
                  <c:v>2.0735294857014872</c:v>
                </c:pt>
                <c:pt idx="30">
                  <c:v>2.2386147543234749</c:v>
                </c:pt>
                <c:pt idx="31">
                  <c:v>2.4101556139114795</c:v>
                </c:pt>
                <c:pt idx="32">
                  <c:v>2.58815681268262</c:v>
                </c:pt>
                <c:pt idx="33">
                  <c:v>2.7726230772857963</c:v>
                </c:pt>
                <c:pt idx="34">
                  <c:v>2.9635591127207697</c:v>
                </c:pt>
                <c:pt idx="35">
                  <c:v>3.1609696022575111</c:v>
                </c:pt>
                <c:pt idx="36">
                  <c:v>3.3648592073558166</c:v>
                </c:pt>
                <c:pt idx="37">
                  <c:v>3.5752325675851915</c:v>
                </c:pt>
                <c:pt idx="38">
                  <c:v>3.792094300545013</c:v>
                </c:pt>
                <c:pt idx="39">
                  <c:v>4.0154490017849662</c:v>
                </c:pt>
                <c:pt idx="40">
                  <c:v>4.245268372254003</c:v>
                </c:pt>
                <c:pt idx="41">
                  <c:v>4.4815230598689961</c:v>
                </c:pt>
                <c:pt idx="42">
                  <c:v>4.7242155341504413</c:v>
                </c:pt>
                <c:pt idx="43">
                  <c:v>4.9733482628268959</c:v>
                </c:pt>
                <c:pt idx="44">
                  <c:v>5.2289237270389517</c:v>
                </c:pt>
                <c:pt idx="45">
                  <c:v>5.4909444197044968</c:v>
                </c:pt>
                <c:pt idx="46">
                  <c:v>5.7594139932198782</c:v>
                </c:pt>
                <c:pt idx="47">
                  <c:v>6.0343375462237931</c:v>
                </c:pt>
                <c:pt idx="48">
                  <c:v>6.315720474067315</c:v>
                </c:pt>
                <c:pt idx="49">
                  <c:v>6.6035681804072341</c:v>
                </c:pt>
                <c:pt idx="50">
                  <c:v>6.8978860760314129</c:v>
                </c:pt>
                <c:pt idx="51">
                  <c:v>7.1986795777479582</c:v>
                </c:pt>
                <c:pt idx="52">
                  <c:v>7.5059541073332108</c:v>
                </c:pt>
                <c:pt idx="53">
                  <c:v>7.8197150905340074</c:v>
                </c:pt>
                <c:pt idx="54">
                  <c:v>8.1399679561201346</c:v>
                </c:pt>
                <c:pt idx="55">
                  <c:v>8.4667181349832621</c:v>
                </c:pt>
                <c:pt idx="56">
                  <c:v>8.7999710592789864</c:v>
                </c:pt>
                <c:pt idx="57">
                  <c:v>9.1397321616089311</c:v>
                </c:pt>
                <c:pt idx="58">
                  <c:v>9.4860068742401058</c:v>
                </c:pt>
                <c:pt idx="59">
                  <c:v>9.8388006283589799</c:v>
                </c:pt>
                <c:pt idx="60">
                  <c:v>10.198118853357954</c:v>
                </c:pt>
                <c:pt idx="61">
                  <c:v>10.563966976152077</c:v>
                </c:pt>
                <c:pt idx="62">
                  <c:v>10.936350420524066</c:v>
                </c:pt>
                <c:pt idx="63">
                  <c:v>11.31527460649583</c:v>
                </c:pt>
                <c:pt idx="64">
                  <c:v>11.700744949724843</c:v>
                </c:pt>
                <c:pt idx="65">
                  <c:v>12.09276686092384</c:v>
                </c:pt>
                <c:pt idx="66">
                  <c:v>12.491345745302434</c:v>
                </c:pt>
                <c:pt idx="67">
                  <c:v>12.896487002029355</c:v>
                </c:pt>
                <c:pt idx="68">
                  <c:v>13.308196023714103</c:v>
                </c:pt>
                <c:pt idx="69">
                  <c:v>13.726495953160748</c:v>
                </c:pt>
                <c:pt idx="70">
                  <c:v>14.151435309654898</c:v>
                </c:pt>
                <c:pt idx="71">
                  <c:v>14.583070251808925</c:v>
                </c:pt>
                <c:pt idx="72">
                  <c:v>15.021456971123982</c:v>
                </c:pt>
                <c:pt idx="73">
                  <c:v>15.466651691976699</c:v>
                </c:pt>
                <c:pt idx="74">
                  <c:v>15.91871067159725</c:v>
                </c:pt>
                <c:pt idx="75">
                  <c:v>16.37769020003886</c:v>
                </c:pt>
                <c:pt idx="76">
                  <c:v>16.843646600138818</c:v>
                </c:pt>
                <c:pt idx="77">
                  <c:v>17.316603517890766</c:v>
                </c:pt>
                <c:pt idx="78">
                  <c:v>17.796537870571601</c:v>
                </c:pt>
                <c:pt idx="79">
                  <c:v>18.283412515329072</c:v>
                </c:pt>
                <c:pt idx="80">
                  <c:v>18.777190260060998</c:v>
                </c:pt>
                <c:pt idx="81">
                  <c:v>19.277833863478786</c:v>
                </c:pt>
                <c:pt idx="82">
                  <c:v>19.785306035198456</c:v>
                </c:pt>
                <c:pt idx="83">
                  <c:v>20.299569435857503</c:v>
                </c:pt>
                <c:pt idx="84">
                  <c:v>20.820586677256149</c:v>
                </c:pt>
                <c:pt idx="85">
                  <c:v>21.348320322521534</c:v>
                </c:pt>
                <c:pt idx="86">
                  <c:v>21.882737318809799</c:v>
                </c:pt>
                <c:pt idx="87">
                  <c:v>22.423826736940129</c:v>
                </c:pt>
                <c:pt idx="88">
                  <c:v>22.971595356504743</c:v>
                </c:pt>
                <c:pt idx="89">
                  <c:v>23.526049943819491</c:v>
                </c:pt>
                <c:pt idx="90">
                  <c:v>24.087197251647176</c:v>
                </c:pt>
                <c:pt idx="91">
                  <c:v>24.655044018926493</c:v>
                </c:pt>
                <c:pt idx="92">
                  <c:v>25.229596970506371</c:v>
                </c:pt>
                <c:pt idx="93">
                  <c:v>25.810862816885468</c:v>
                </c:pt>
                <c:pt idx="94">
                  <c:v>26.398848253956661</c:v>
                </c:pt>
                <c:pt idx="95">
                  <c:v>26.993559962756301</c:v>
                </c:pt>
                <c:pt idx="96">
                  <c:v>27.595004609218087</c:v>
                </c:pt>
                <c:pt idx="97">
                  <c:v>28.203188843931358</c:v>
                </c:pt>
                <c:pt idx="98">
                  <c:v>28.818119301903657</c:v>
                </c:pt>
                <c:pt idx="99">
                  <c:v>29.439802602327418</c:v>
                </c:pt>
                <c:pt idx="100">
                  <c:v>30.068245348350608</c:v>
                </c:pt>
                <c:pt idx="101">
                  <c:v>30.703454126851195</c:v>
                </c:pt>
                <c:pt idx="102">
                  <c:v>31.345435508215328</c:v>
                </c:pt>
                <c:pt idx="103">
                  <c:v>31.994196046119072</c:v>
                </c:pt>
                <c:pt idx="104">
                  <c:v>32.649742277313599</c:v>
                </c:pt>
                <c:pt idx="105">
                  <c:v>33.312080721413722</c:v>
                </c:pt>
                <c:pt idx="106">
                  <c:v>33.981217880689627</c:v>
                </c:pt>
                <c:pt idx="107">
                  <c:v>34.65716023986176</c:v>
                </c:pt>
                <c:pt idx="108">
                  <c:v>35.339914265898742</c:v>
                </c:pt>
                <c:pt idx="109">
                  <c:v>36.02948640781819</c:v>
                </c:pt>
                <c:pt idx="110">
                  <c:v>36.725883096490385</c:v>
                </c:pt>
                <c:pt idx="111">
                  <c:v>37.429110744444706</c:v>
                </c:pt>
                <c:pt idx="112">
                  <c:v>38.139175745678756</c:v>
                </c:pt>
                <c:pt idx="113">
                  <c:v>38.856084475470048</c:v>
                </c:pt>
                <c:pt idx="114">
                  <c:v>39.579843290190226</c:v>
                </c:pt>
                <c:pt idx="115">
                  <c:v>40.310458527121753</c:v>
                </c:pt>
                <c:pt idx="116">
                  <c:v>41.047936504276976</c:v>
                </c:pt>
                <c:pt idx="117">
                  <c:v>41.792283520219499</c:v>
                </c:pt>
                <c:pt idx="118">
                  <c:v>42.543505853887829</c:v>
                </c:pt>
                <c:pt idx="119">
                  <c:v>43.301609764421201</c:v>
                </c:pt>
                <c:pt idx="120">
                  <c:v>44.066601490987566</c:v>
                </c:pt>
                <c:pt idx="121">
                  <c:v>44.838487252613653</c:v>
                </c:pt>
                <c:pt idx="122">
                  <c:v>45.617273248017078</c:v>
                </c:pt>
                <c:pt idx="123">
                  <c:v>46.402965655440411</c:v>
                </c:pt>
                <c:pt idx="124">
                  <c:v>47.195570632487225</c:v>
                </c:pt>
                <c:pt idx="125">
                  <c:v>47.995094315959989</c:v>
                </c:pt>
                <c:pt idx="126">
                  <c:v>48.801542821699847</c:v>
                </c:pt>
                <c:pt idx="127">
                  <c:v>49.6149222444282</c:v>
                </c:pt>
                <c:pt idx="128">
                  <c:v>50.435238657590027</c:v>
                </c:pt>
                <c:pt idx="129">
                  <c:v>51.262498113198973</c:v>
                </c:pt>
                <c:pt idx="130">
                  <c:v>52.096706641684108</c:v>
                </c:pt>
                <c:pt idx="131">
                  <c:v>52.937870251738339</c:v>
                </c:pt>
                <c:pt idx="132">
                  <c:v>53.785994930168464</c:v>
                </c:pt>
                <c:pt idx="133">
                  <c:v>54.641086641746789</c:v>
                </c:pt>
                <c:pt idx="134">
                  <c:v>55.503151329064345</c:v>
                </c:pt>
                <c:pt idx="135">
                  <c:v>56.372194912385602</c:v>
                </c:pt>
                <c:pt idx="136">
                  <c:v>57.248223289504686</c:v>
                </c:pt>
                <c:pt idx="137">
                  <c:v>58.131242335603091</c:v>
                </c:pt>
                <c:pt idx="138">
                  <c:v>59.021257903108818</c:v>
                </c:pt>
                <c:pt idx="139">
                  <c:v>59.918275821556954</c:v>
                </c:pt>
                <c:pt idx="140">
                  <c:v>60.822301897451638</c:v>
                </c:pt>
                <c:pt idx="141">
                  <c:v>61.733341914129397</c:v>
                </c:pt>
                <c:pt idx="142">
                  <c:v>62.651401631623862</c:v>
                </c:pt>
                <c:pt idx="143">
                  <c:v>63.576486786531774</c:v>
                </c:pt>
                <c:pt idx="144">
                  <c:v>64.508603091880332</c:v>
                </c:pt>
                <c:pt idx="145">
                  <c:v>65.447756236995815</c:v>
                </c:pt>
                <c:pt idx="146">
                  <c:v>66.393951887373518</c:v>
                </c:pt>
                <c:pt idx="147">
                  <c:v>67.347195684548865</c:v>
                </c:pt>
                <c:pt idx="148">
                  <c:v>68.307493245969823</c:v>
                </c:pt>
                <c:pt idx="149">
                  <c:v>69.274850164870514</c:v>
                </c:pt>
                <c:pt idx="150">
                  <c:v>70.249272010146015</c:v>
                </c:pt>
                <c:pt idx="151">
                  <c:v>71.230764326228382</c:v>
                </c:pt>
                <c:pt idx="152">
                  <c:v>72.219332632963827</c:v>
                </c:pt>
                <c:pt idx="153">
                  <c:v>73.214982425491044</c:v>
                </c:pt>
                <c:pt idx="154">
                  <c:v>74.217719174120688</c:v>
                </c:pt>
                <c:pt idx="155">
                  <c:v>75.227548324216002</c:v>
                </c:pt>
                <c:pt idx="156">
                  <c:v>76.24447529607454</c:v>
                </c:pt>
                <c:pt idx="157">
                  <c:v>77.268505484811001</c:v>
                </c:pt>
                <c:pt idx="158">
                  <c:v>78.299644260241209</c:v>
                </c:pt>
                <c:pt idx="159">
                  <c:v>79.337896966767062</c:v>
                </c:pt>
                <c:pt idx="160">
                  <c:v>80.383268923262705</c:v>
                </c:pt>
                <c:pt idx="161">
                  <c:v>81.435765422961623</c:v>
                </c:pt>
                <c:pt idx="162">
                  <c:v>82.495391733344903</c:v>
                </c:pt>
                <c:pt idx="163">
                  <c:v>83.562153096030471</c:v>
                </c:pt>
                <c:pt idx="164">
                  <c:v>84.636054726663374</c:v>
                </c:pt>
                <c:pt idx="165">
                  <c:v>85.717101814807137</c:v>
                </c:pt>
                <c:pt idx="166">
                  <c:v>86.805299523836055</c:v>
                </c:pt>
                <c:pt idx="167">
                  <c:v>87.900652990828576</c:v>
                </c:pt>
                <c:pt idx="168">
                  <c:v>89.003167326461664</c:v>
                </c:pt>
                <c:pt idx="169">
                  <c:v>90.112847614906087</c:v>
                </c:pt>
                <c:pt idx="170">
                  <c:v>91.229698913722814</c:v>
                </c:pt>
                <c:pt idx="171">
                  <c:v>92.3537262537603</c:v>
                </c:pt>
                <c:pt idx="172">
                  <c:v>93.48493463905281</c:v>
                </c:pt>
                <c:pt idx="173">
                  <c:v>94.623329046719618</c:v>
                </c:pt>
                <c:pt idx="174">
                  <c:v>95.768914426865308</c:v>
                </c:pt>
                <c:pt idx="175">
                  <c:v>96.921695702480889</c:v>
                </c:pt>
                <c:pt idx="176">
                  <c:v>98.081677769345987</c:v>
                </c:pt>
                <c:pt idx="177">
                  <c:v>99.248865495931881</c:v>
                </c:pt>
                <c:pt idx="178">
                  <c:v>100.42326372330557</c:v>
                </c:pt>
                <c:pt idx="179">
                  <c:v>101.60487726503467</c:v>
                </c:pt>
                <c:pt idx="180">
                  <c:v>102.79371090709337</c:v>
                </c:pt>
                <c:pt idx="181">
                  <c:v>103.98976940776923</c:v>
                </c:pt>
                <c:pt idx="182">
                  <c:v>105.1930574975709</c:v>
                </c:pt>
                <c:pt idx="183">
                  <c:v>106.40357987913686</c:v>
                </c:pt>
                <c:pt idx="184">
                  <c:v>107.6213412271449</c:v>
                </c:pt>
                <c:pt idx="185">
                  <c:v>108.8463461882227</c:v>
                </c:pt>
                <c:pt idx="186">
                  <c:v>110.07859938085919</c:v>
                </c:pt>
                <c:pt idx="187">
                  <c:v>111.31810539531691</c:v>
                </c:pt>
                <c:pt idx="188">
                  <c:v>112.56486879354514</c:v>
                </c:pt>
                <c:pt idx="189">
                  <c:v>113.81889410909413</c:v>
                </c:pt>
                <c:pt idx="190">
                  <c:v>115.08018584703002</c:v>
                </c:pt>
                <c:pt idx="191">
                  <c:v>116.34874848385078</c:v>
                </c:pt>
                <c:pt idx="192">
                  <c:v>117.62458646740303</c:v>
                </c:pt>
                <c:pt idx="193">
                  <c:v>118.90770421679971</c:v>
                </c:pt>
                <c:pt idx="194">
                  <c:v>120.19810612233867</c:v>
                </c:pt>
                <c:pt idx="195">
                  <c:v>121.49579654542211</c:v>
                </c:pt>
                <c:pt idx="196">
                  <c:v>122.80077981847698</c:v>
                </c:pt>
                <c:pt idx="197">
                  <c:v>124.11306024487618</c:v>
                </c:pt>
                <c:pt idx="198">
                  <c:v>125.43264209886067</c:v>
                </c:pt>
                <c:pt idx="199">
                  <c:v>126.75952962546245</c:v>
                </c:pt>
                <c:pt idx="200">
                  <c:v>128.09372704042849</c:v>
                </c:pt>
                <c:pt idx="201">
                  <c:v>129.43523853014537</c:v>
                </c:pt>
                <c:pt idx="202">
                  <c:v>130.784068251565</c:v>
                </c:pt>
                <c:pt idx="203">
                  <c:v>132.14022033213104</c:v>
                </c:pt>
                <c:pt idx="204">
                  <c:v>133.50369886970631</c:v>
                </c:pt>
                <c:pt idx="205">
                  <c:v>134.87450793250099</c:v>
                </c:pt>
                <c:pt idx="206">
                  <c:v>136.25265155900172</c:v>
                </c:pt>
                <c:pt idx="207">
                  <c:v>137.63813375790161</c:v>
                </c:pt>
                <c:pt idx="208">
                  <c:v>139.03095850803103</c:v>
                </c:pt>
                <c:pt idx="209">
                  <c:v>140.43112975828936</c:v>
                </c:pt>
                <c:pt idx="210">
                  <c:v>141.8386514275775</c:v>
                </c:pt>
                <c:pt idx="211">
                  <c:v>143.25352740473141</c:v>
                </c:pt>
                <c:pt idx="212">
                  <c:v>144.67576154845631</c:v>
                </c:pt>
                <c:pt idx="213">
                  <c:v>146.10535768726186</c:v>
                </c:pt>
                <c:pt idx="214">
                  <c:v>147.54231961939826</c:v>
                </c:pt>
                <c:pt idx="215">
                  <c:v>148.98665111279308</c:v>
                </c:pt>
                <c:pt idx="216">
                  <c:v>150.43835590498904</c:v>
                </c:pt>
                <c:pt idx="217">
                  <c:v>151.89743770308257</c:v>
                </c:pt>
                <c:pt idx="218">
                  <c:v>153.36390018366342</c:v>
                </c:pt>
                <c:pt idx="219">
                  <c:v>154.83774699275489</c:v>
                </c:pt>
                <c:pt idx="220">
                  <c:v>156.31898174575505</c:v>
                </c:pt>
                <c:pt idx="221">
                  <c:v>157.80760802737888</c:v>
                </c:pt>
                <c:pt idx="222">
                  <c:v>159.30362939160105</c:v>
                </c:pt>
                <c:pt idx="223">
                  <c:v>160.80704936159989</c:v>
                </c:pt>
                <c:pt idx="224">
                  <c:v>162.31787142970188</c:v>
                </c:pt>
                <c:pt idx="225">
                  <c:v>163.83609905732729</c:v>
                </c:pt>
                <c:pt idx="226">
                  <c:v>165.36173567493643</c:v>
                </c:pt>
                <c:pt idx="227">
                  <c:v>166.89478468197697</c:v>
                </c:pt>
                <c:pt idx="228">
                  <c:v>168.43524944683202</c:v>
                </c:pt>
                <c:pt idx="229">
                  <c:v>169.98313330676905</c:v>
                </c:pt>
                <c:pt idx="230">
                  <c:v>171.53843956788972</c:v>
                </c:pt>
                <c:pt idx="231">
                  <c:v>173.1011715050806</c:v>
                </c:pt>
                <c:pt idx="232">
                  <c:v>174.67133236196466</c:v>
                </c:pt>
                <c:pt idx="233">
                  <c:v>176.24892535085368</c:v>
                </c:pt>
                <c:pt idx="234">
                  <c:v>177.83395365270155</c:v>
                </c:pt>
                <c:pt idx="235">
                  <c:v>179.42642041705832</c:v>
                </c:pt>
                <c:pt idx="236">
                  <c:v>181.02632876202529</c:v>
                </c:pt>
                <c:pt idx="237">
                  <c:v>182.63368177421074</c:v>
                </c:pt>
                <c:pt idx="238">
                  <c:v>184.24848250868678</c:v>
                </c:pt>
                <c:pt idx="239">
                  <c:v>185.8707339889468</c:v>
                </c:pt>
                <c:pt idx="240">
                  <c:v>187.50043920686397</c:v>
                </c:pt>
                <c:pt idx="241">
                  <c:v>189.13760112265055</c:v>
                </c:pt>
                <c:pt idx="242">
                  <c:v>190.78222266481805</c:v>
                </c:pt>
                <c:pt idx="243">
                  <c:v>192.43430673013827</c:v>
                </c:pt>
                <c:pt idx="244">
                  <c:v>194.0938743296189</c:v>
                </c:pt>
                <c:pt idx="245">
                  <c:v>195.76096459640894</c:v>
                </c:pt>
                <c:pt idx="246">
                  <c:v>197.43561664759437</c:v>
                </c:pt>
                <c:pt idx="247">
                  <c:v>199.11786958396672</c:v>
                </c:pt>
                <c:pt idx="248">
                  <c:v>200.80776248978884</c:v>
                </c:pt>
                <c:pt idx="249">
                  <c:v>202.50533443255796</c:v>
                </c:pt>
                <c:pt idx="250">
                  <c:v>204.21062446276582</c:v>
                </c:pt>
                <c:pt idx="251">
                  <c:v>205.92367161365613</c:v>
                </c:pt>
                <c:pt idx="252">
                  <c:v>207.64451490097915</c:v>
                </c:pt>
                <c:pt idx="253">
                  <c:v>209.3731832852506</c:v>
                </c:pt>
                <c:pt idx="254">
                  <c:v>211.10968562359071</c:v>
                </c:pt>
                <c:pt idx="255">
                  <c:v>212.85402069765519</c:v>
                </c:pt>
                <c:pt idx="256">
                  <c:v>214.6061872521197</c:v>
                </c:pt>
                <c:pt idx="257">
                  <c:v>216.36618399470018</c:v>
                </c:pt>
                <c:pt idx="258">
                  <c:v>218.13400959617448</c:v>
                </c:pt>
                <c:pt idx="259">
                  <c:v>219.90966269040521</c:v>
                </c:pt>
                <c:pt idx="260">
                  <c:v>221.69314187436356</c:v>
                </c:pt>
                <c:pt idx="261">
                  <c:v>223.48444570815437</c:v>
                </c:pt>
                <c:pt idx="262">
                  <c:v>225.28357271504234</c:v>
                </c:pt>
                <c:pt idx="263">
                  <c:v>227.09052138147933</c:v>
                </c:pt>
                <c:pt idx="264">
                  <c:v>228.90529015713281</c:v>
                </c:pt>
                <c:pt idx="265">
                  <c:v>230.72787745491542</c:v>
                </c:pt>
                <c:pt idx="266">
                  <c:v>232.55828165101565</c:v>
                </c:pt>
                <c:pt idx="267">
                  <c:v>234.3965010849297</c:v>
                </c:pt>
                <c:pt idx="268">
                  <c:v>236.24253405949432</c:v>
                </c:pt>
                <c:pt idx="269">
                  <c:v>238.09637884092092</c:v>
                </c:pt>
                <c:pt idx="270">
                  <c:v>239.95803365883069</c:v>
                </c:pt>
                <c:pt idx="271">
                  <c:v>241.82749670629079</c:v>
                </c:pt>
                <c:pt idx="272">
                  <c:v>243.70476613985181</c:v>
                </c:pt>
                <c:pt idx="273">
                  <c:v>245.58984007958608</c:v>
                </c:pt>
                <c:pt idx="274">
                  <c:v>247.48271660912732</c:v>
                </c:pt>
                <c:pt idx="275">
                  <c:v>249.38339377571117</c:v>
                </c:pt>
                <c:pt idx="276">
                  <c:v>251.29186959021695</c:v>
                </c:pt>
                <c:pt idx="277">
                  <c:v>253.20814153835099</c:v>
                </c:pt>
                <c:pt idx="278">
                  <c:v>255.13220584680195</c:v>
                </c:pt>
                <c:pt idx="279">
                  <c:v>257.06405797173414</c:v>
                </c:pt>
                <c:pt idx="280">
                  <c:v>259.0036933323297</c:v>
                </c:pt>
                <c:pt idx="281">
                  <c:v>260.95110731087317</c:v>
                </c:pt>
                <c:pt idx="282">
                  <c:v>262.90629525283737</c:v>
                </c:pt>
                <c:pt idx="283">
                  <c:v>264.86925246697018</c:v>
                </c:pt>
                <c:pt idx="284">
                  <c:v>266.83997422538255</c:v>
                </c:pt>
                <c:pt idx="285">
                  <c:v>268.81845576363742</c:v>
                </c:pt>
                <c:pt idx="286">
                  <c:v>270.80469228083984</c:v>
                </c:pt>
                <c:pt idx="287">
                  <c:v>272.79867893972812</c:v>
                </c:pt>
                <c:pt idx="288">
                  <c:v>274.80041086676601</c:v>
                </c:pt>
                <c:pt idx="289">
                  <c:v>276.80988315223601</c:v>
                </c:pt>
                <c:pt idx="290">
                  <c:v>278.82709085033372</c:v>
                </c:pt>
                <c:pt idx="291">
                  <c:v>280.85202897926303</c:v>
                </c:pt>
                <c:pt idx="292">
                  <c:v>282.88469252133262</c:v>
                </c:pt>
                <c:pt idx="293">
                  <c:v>284.92507642305338</c:v>
                </c:pt>
                <c:pt idx="294">
                  <c:v>286.97317559523674</c:v>
                </c:pt>
                <c:pt idx="295">
                  <c:v>289.02898491309418</c:v>
                </c:pt>
                <c:pt idx="296">
                  <c:v>291.09249921633767</c:v>
                </c:pt>
                <c:pt idx="297">
                  <c:v>293.16371330928121</c:v>
                </c:pt>
                <c:pt idx="298">
                  <c:v>295.24262196094304</c:v>
                </c:pt>
                <c:pt idx="299">
                  <c:v>297.32921990514927</c:v>
                </c:pt>
                <c:pt idx="300">
                  <c:v>299.42350184063832</c:v>
                </c:pt>
                <c:pt idx="301">
                  <c:v>301.52546243116609</c:v>
                </c:pt>
                <c:pt idx="302">
                  <c:v>303.63509630561259</c:v>
                </c:pt>
                <c:pt idx="303">
                  <c:v>305.75239805808911</c:v>
                </c:pt>
                <c:pt idx="304">
                  <c:v>307.8773622480465</c:v>
                </c:pt>
                <c:pt idx="305">
                  <c:v>310.00998340038433</c:v>
                </c:pt>
                <c:pt idx="306">
                  <c:v>312.15025600556129</c:v>
                </c:pt>
                <c:pt idx="307">
                  <c:v>314.29817451970604</c:v>
                </c:pt>
                <c:pt idx="308">
                  <c:v>316.45373336472932</c:v>
                </c:pt>
                <c:pt idx="309">
                  <c:v>318.61692692843701</c:v>
                </c:pt>
                <c:pt idx="310">
                  <c:v>320.78774956464389</c:v>
                </c:pt>
                <c:pt idx="311">
                  <c:v>322.96619559328838</c:v>
                </c:pt>
                <c:pt idx="312">
                  <c:v>325.15225930054828</c:v>
                </c:pt>
                <c:pt idx="313">
                  <c:v>327.34593493895738</c:v>
                </c:pt>
                <c:pt idx="314">
                  <c:v>329.54721672752288</c:v>
                </c:pt>
                <c:pt idx="315">
                  <c:v>331.7560988518436</c:v>
                </c:pt>
                <c:pt idx="316">
                  <c:v>333.97257546422952</c:v>
                </c:pt>
                <c:pt idx="317">
                  <c:v>336.1966406838215</c:v>
                </c:pt>
                <c:pt idx="318">
                  <c:v>338.42828859671243</c:v>
                </c:pt>
                <c:pt idx="319">
                  <c:v>340.66751325606907</c:v>
                </c:pt>
                <c:pt idx="320">
                  <c:v>342.91430868225456</c:v>
                </c:pt>
                <c:pt idx="321">
                  <c:v>345.1686688629519</c:v>
                </c:pt>
                <c:pt idx="322">
                  <c:v>347.43058775328842</c:v>
                </c:pt>
                <c:pt idx="323">
                  <c:v>349.70005927596083</c:v>
                </c:pt>
                <c:pt idx="324">
                  <c:v>351.97707732136115</c:v>
                </c:pt>
                <c:pt idx="325">
                  <c:v>354.26163574770351</c:v>
                </c:pt>
                <c:pt idx="326">
                  <c:v>356.55372838115181</c:v>
                </c:pt>
                <c:pt idx="327">
                  <c:v>358.85334901594808</c:v>
                </c:pt>
                <c:pt idx="328">
                  <c:v>361.16049141454153</c:v>
                </c:pt>
                <c:pt idx="329">
                  <c:v>363.4751493077186</c:v>
                </c:pt>
                <c:pt idx="330">
                  <c:v>365.79731639473368</c:v>
                </c:pt>
                <c:pt idx="331">
                  <c:v>368.12698634344076</c:v>
                </c:pt>
                <c:pt idx="332">
                  <c:v>370.46415279042537</c:v>
                </c:pt>
                <c:pt idx="333">
                  <c:v>372.80880934113793</c:v>
                </c:pt>
                <c:pt idx="334">
                  <c:v>375.16094957002736</c:v>
                </c:pt>
                <c:pt idx="335">
                  <c:v>377.52056702067557</c:v>
                </c:pt>
                <c:pt idx="336">
                  <c:v>379.88765520593284</c:v>
                </c:pt>
                <c:pt idx="337">
                  <c:v>382.2622076080537</c:v>
                </c:pt>
                <c:pt idx="338">
                  <c:v>384.64421767883363</c:v>
                </c:pt>
                <c:pt idx="339">
                  <c:v>387.03367883974653</c:v>
                </c:pt>
                <c:pt idx="340">
                  <c:v>389.43058448208274</c:v>
                </c:pt>
                <c:pt idx="341">
                  <c:v>391.83492796708799</c:v>
                </c:pt>
                <c:pt idx="342">
                  <c:v>394.24670262610277</c:v>
                </c:pt>
                <c:pt idx="343">
                  <c:v>396.66590176070264</c:v>
                </c:pt>
                <c:pt idx="344">
                  <c:v>399.09251905555942</c:v>
                </c:pt>
                <c:pt idx="345">
                  <c:v>401.52655229540341</c:v>
                </c:pt>
                <c:pt idx="346">
                  <c:v>403.9680029523476</c:v>
                </c:pt>
                <c:pt idx="347">
                  <c:v>406.41687246905366</c:v>
                </c:pt>
                <c:pt idx="348">
                  <c:v>408.87316225875742</c:v>
                </c:pt>
                <c:pt idx="349">
                  <c:v>411.33687370529537</c:v>
                </c:pt>
                <c:pt idx="350">
                  <c:v>413.8080081631316</c:v>
                </c:pt>
                <c:pt idx="351">
                  <c:v>416.28656695738573</c:v>
                </c:pt>
                <c:pt idx="352">
                  <c:v>418.77255138386136</c:v>
                </c:pt>
                <c:pt idx="353">
                  <c:v>421.2659627090755</c:v>
                </c:pt>
                <c:pt idx="354">
                  <c:v>423.76680217028837</c:v>
                </c:pt>
                <c:pt idx="355">
                  <c:v>426.27507097553433</c:v>
                </c:pt>
                <c:pt idx="356">
                  <c:v>428.79077030365323</c:v>
                </c:pt>
                <c:pt idx="357">
                  <c:v>431.31390130432266</c:v>
                </c:pt>
                <c:pt idx="358">
                  <c:v>433.84446509809072</c:v>
                </c:pt>
                <c:pt idx="359">
                  <c:v>436.38246277640991</c:v>
                </c:pt>
                <c:pt idx="360">
                  <c:v>438.92789540167132</c:v>
                </c:pt>
                <c:pt idx="361">
                  <c:v>441.48076400723971</c:v>
                </c:pt>
                <c:pt idx="362">
                  <c:v>444.04106959748941</c:v>
                </c:pt>
                <c:pt idx="363">
                  <c:v>446.60881314784081</c:v>
                </c:pt>
                <c:pt idx="364">
                  <c:v>449.18399560479753</c:v>
                </c:pt>
                <c:pt idx="365">
                  <c:v>451.76661788598454</c:v>
                </c:pt>
                <c:pt idx="366">
                  <c:v>454.35668088018673</c:v>
                </c:pt>
                <c:pt idx="367">
                  <c:v>456.95418544738828</c:v>
                </c:pt>
                <c:pt idx="368">
                  <c:v>459.55913241881296</c:v>
                </c:pt>
                <c:pt idx="369">
                  <c:v>462.17152259696473</c:v>
                </c:pt>
                <c:pt idx="370">
                  <c:v>464.79135675566948</c:v>
                </c:pt>
                <c:pt idx="371">
                  <c:v>467.41863564011715</c:v>
                </c:pt>
                <c:pt idx="372">
                  <c:v>470.05335996690474</c:v>
                </c:pt>
                <c:pt idx="373">
                  <c:v>472.69552771837709</c:v>
                </c:pt>
                <c:pt idx="374">
                  <c:v>475.34513414303802</c:v>
                </c:pt>
                <c:pt idx="375">
                  <c:v>478.00217446170257</c:v>
                </c:pt>
                <c:pt idx="376">
                  <c:v>480.66664386761801</c:v>
                </c:pt>
                <c:pt idx="377">
                  <c:v>483.33853752658592</c:v>
                </c:pt>
                <c:pt idx="378">
                  <c:v>486.01785057708435</c:v>
                </c:pt>
                <c:pt idx="379">
                  <c:v>488.70457813039098</c:v>
                </c:pt>
                <c:pt idx="380">
                  <c:v>491.39871527070659</c:v>
                </c:pt>
                <c:pt idx="381">
                  <c:v>494.10025705527931</c:v>
                </c:pt>
                <c:pt idx="382">
                  <c:v>496.80919851452944</c:v>
                </c:pt>
                <c:pt idx="383">
                  <c:v>499.52553465217483</c:v>
                </c:pt>
                <c:pt idx="384">
                  <c:v>502.24926044535664</c:v>
                </c:pt>
                <c:pt idx="385">
                  <c:v>504.98037084476618</c:v>
                </c:pt>
                <c:pt idx="386">
                  <c:v>507.71886077477166</c:v>
                </c:pt>
                <c:pt idx="387">
                  <c:v>510.46472513354604</c:v>
                </c:pt>
                <c:pt idx="388">
                  <c:v>513.21795879319507</c:v>
                </c:pt>
                <c:pt idx="389">
                  <c:v>515.97855659988625</c:v>
                </c:pt>
                <c:pt idx="390">
                  <c:v>518.7465133739779</c:v>
                </c:pt>
                <c:pt idx="391">
                  <c:v>521.52182391014901</c:v>
                </c:pt>
                <c:pt idx="392">
                  <c:v>524.30448297752969</c:v>
                </c:pt>
                <c:pt idx="393">
                  <c:v>527.09448531983196</c:v>
                </c:pt>
                <c:pt idx="394">
                  <c:v>529.89182565548128</c:v>
                </c:pt>
                <c:pt idx="395">
                  <c:v>532.6964986777482</c:v>
                </c:pt>
                <c:pt idx="396">
                  <c:v>535.50849905488099</c:v>
                </c:pt>
                <c:pt idx="397">
                  <c:v>538.3278214302386</c:v>
                </c:pt>
                <c:pt idx="398">
                  <c:v>541.15446042242388</c:v>
                </c:pt>
                <c:pt idx="399">
                  <c:v>543.9884106254176</c:v>
                </c:pt>
                <c:pt idx="400">
                  <c:v>546.82966660871284</c:v>
                </c:pt>
                <c:pt idx="401">
                  <c:v>549.67822291744983</c:v>
                </c:pt>
                <c:pt idx="402">
                  <c:v>552.53407407255133</c:v>
                </c:pt>
                <c:pt idx="403">
                  <c:v>555.39721457085841</c:v>
                </c:pt>
                <c:pt idx="404">
                  <c:v>558.26763888526659</c:v>
                </c:pt>
                <c:pt idx="405">
                  <c:v>561.1453414648629</c:v>
                </c:pt>
                <c:pt idx="406">
                  <c:v>564.0303167350628</c:v>
                </c:pt>
                <c:pt idx="407">
                  <c:v>566.92255909774769</c:v>
                </c:pt>
                <c:pt idx="408">
                  <c:v>569.82206293140325</c:v>
                </c:pt>
                <c:pt idx="409">
                  <c:v>572.72881953016315</c:v>
                </c:pt>
                <c:pt idx="410">
                  <c:v>575.6428163391414</c:v>
                </c:pt>
                <c:pt idx="411">
                  <c:v>578.56404001697092</c:v>
                </c:pt>
                <c:pt idx="412">
                  <c:v>581.49247720211542</c:v>
                </c:pt>
                <c:pt idx="413">
                  <c:v>584.42811451313173</c:v>
                </c:pt>
                <c:pt idx="414">
                  <c:v>587.3709385489326</c:v>
                </c:pt>
                <c:pt idx="415">
                  <c:v>590.32093588904911</c:v>
                </c:pt>
                <c:pt idx="416">
                  <c:v>593.27809309389295</c:v>
                </c:pt>
                <c:pt idx="417">
                  <c:v>596.24239670501879</c:v>
                </c:pt>
                <c:pt idx="418">
                  <c:v>599.21383324538624</c:v>
                </c:pt>
                <c:pt idx="419">
                  <c:v>602.19238921962199</c:v>
                </c:pt>
                <c:pt idx="420">
                  <c:v>605.17805111428163</c:v>
                </c:pt>
                <c:pt idx="421">
                  <c:v>608.1708053981115</c:v>
                </c:pt>
                <c:pt idx="422">
                  <c:v>611.17063852231001</c:v>
                </c:pt>
                <c:pt idx="423">
                  <c:v>614.17753692078929</c:v>
                </c:pt>
                <c:pt idx="424">
                  <c:v>617.19148701043616</c:v>
                </c:pt>
                <c:pt idx="425">
                  <c:v>620.21247519137319</c:v>
                </c:pt>
                <c:pt idx="426">
                  <c:v>623.24048784721958</c:v>
                </c:pt>
                <c:pt idx="427">
                  <c:v>626.27551134535156</c:v>
                </c:pt>
                <c:pt idx="428">
                  <c:v>629.31753203716289</c:v>
                </c:pt>
                <c:pt idx="429">
                  <c:v>632.36653625832491</c:v>
                </c:pt>
                <c:pt idx="430">
                  <c:v>635.42251032904619</c:v>
                </c:pt>
                <c:pt idx="431">
                  <c:v>638.48544055433229</c:v>
                </c:pt>
                <c:pt idx="432">
                  <c:v>641.55531322424508</c:v>
                </c:pt>
                <c:pt idx="433">
                  <c:v>644.63211461416165</c:v>
                </c:pt>
                <c:pt idx="434">
                  <c:v>647.71583098503299</c:v>
                </c:pt>
                <c:pt idx="435">
                  <c:v>650.80644858364246</c:v>
                </c:pt>
                <c:pt idx="436">
                  <c:v>653.90395364286383</c:v>
                </c:pt>
                <c:pt idx="437">
                  <c:v>657.00833238191899</c:v>
                </c:pt>
                <c:pt idx="438">
                  <c:v>660.1195710066354</c:v>
                </c:pt>
                <c:pt idx="439">
                  <c:v>663.23765570970318</c:v>
                </c:pt>
                <c:pt idx="440">
                  <c:v>666.36257267093174</c:v>
                </c:pt>
                <c:pt idx="441">
                  <c:v>669.49430805750615</c:v>
                </c:pt>
                <c:pt idx="442">
                  <c:v>672.63284802424289</c:v>
                </c:pt>
                <c:pt idx="443">
                  <c:v>675.77817871384559</c:v>
                </c:pt>
                <c:pt idx="444">
                  <c:v>678.93028625716022</c:v>
                </c:pt>
                <c:pt idx="445">
                  <c:v>682.08915677342952</c:v>
                </c:pt>
                <c:pt idx="446">
                  <c:v>685.25477637054757</c:v>
                </c:pt>
                <c:pt idx="447">
                  <c:v>688.42713114531364</c:v>
                </c:pt>
                <c:pt idx="448">
                  <c:v>691.60620718368534</c:v>
                </c:pt>
                <c:pt idx="449">
                  <c:v>694.79199056103187</c:v>
                </c:pt>
                <c:pt idx="450">
                  <c:v>697.98446734238644</c:v>
                </c:pt>
                <c:pt idx="451">
                  <c:v>701.18362358269826</c:v>
                </c:pt>
                <c:pt idx="452">
                  <c:v>704.38944532708422</c:v>
                </c:pt>
                <c:pt idx="453">
                  <c:v>707.60191861107967</c:v>
                </c:pt>
                <c:pt idx="454">
                  <c:v>710.82102946088935</c:v>
                </c:pt>
                <c:pt idx="455">
                  <c:v>714.04676389363703</c:v>
                </c:pt>
                <c:pt idx="456">
                  <c:v>717.27910791761542</c:v>
                </c:pt>
                <c:pt idx="457">
                  <c:v>720.51804753253498</c:v>
                </c:pt>
                <c:pt idx="458">
                  <c:v>723.76356872977237</c:v>
                </c:pt>
                <c:pt idx="459">
                  <c:v>727.01565749261829</c:v>
                </c:pt>
                <c:pt idx="460">
                  <c:v>730.27429979652504</c:v>
                </c:pt>
                <c:pt idx="461">
                  <c:v>733.53948160935317</c:v>
                </c:pt>
                <c:pt idx="462">
                  <c:v>736.81118889161769</c:v>
                </c:pt>
                <c:pt idx="463">
                  <c:v>740.08940759673385</c:v>
                </c:pt>
                <c:pt idx="464">
                  <c:v>743.37412367126205</c:v>
                </c:pt>
                <c:pt idx="465">
                  <c:v>746.66532305515216</c:v>
                </c:pt>
                <c:pt idx="466">
                  <c:v>749.96299168198766</c:v>
                </c:pt>
                <c:pt idx="467">
                  <c:v>753.26711547922866</c:v>
                </c:pt>
                <c:pt idx="468">
                  <c:v>756.57768036845459</c:v>
                </c:pt>
                <c:pt idx="469">
                  <c:v>759.89467226560612</c:v>
                </c:pt>
                <c:pt idx="470">
                  <c:v>763.21807708122628</c:v>
                </c:pt>
                <c:pt idx="471">
                  <c:v>766.54788072070153</c:v>
                </c:pt>
                <c:pt idx="472">
                  <c:v>769.88406908450156</c:v>
                </c:pt>
                <c:pt idx="473">
                  <c:v>773.22662806841856</c:v>
                </c:pt>
                <c:pt idx="474">
                  <c:v>776.57554356380604</c:v>
                </c:pt>
                <c:pt idx="475">
                  <c:v>779.93080145781676</c:v>
                </c:pt>
                <c:pt idx="476">
                  <c:v>783.29238763364003</c:v>
                </c:pt>
                <c:pt idx="477">
                  <c:v>786.6602879707383</c:v>
                </c:pt>
                <c:pt idx="478">
                  <c:v>790.03448834508322</c:v>
                </c:pt>
                <c:pt idx="479">
                  <c:v>793.4149746293906</c:v>
                </c:pt>
                <c:pt idx="480">
                  <c:v>796.80173269335512</c:v>
                </c:pt>
                <c:pt idx="481">
                  <c:v>800.19474840388386</c:v>
                </c:pt>
                <c:pt idx="482">
                  <c:v>803.59400762532948</c:v>
                </c:pt>
                <c:pt idx="483">
                  <c:v>806.99949621972257</c:v>
                </c:pt>
                <c:pt idx="484">
                  <c:v>810.41120004700292</c:v>
                </c:pt>
                <c:pt idx="485">
                  <c:v>813.82910496525051</c:v>
                </c:pt>
                <c:pt idx="486">
                  <c:v>817.2531968309155</c:v>
                </c:pt>
                <c:pt idx="487">
                  <c:v>820.68346149904744</c:v>
                </c:pt>
                <c:pt idx="488">
                  <c:v>824.11988482352376</c:v>
                </c:pt>
                <c:pt idx="489">
                  <c:v>827.5624526572775</c:v>
                </c:pt>
                <c:pt idx="490">
                  <c:v>831.01115085252411</c:v>
                </c:pt>
                <c:pt idx="491">
                  <c:v>834.46596526098767</c:v>
                </c:pt>
                <c:pt idx="492">
                  <c:v>837.92688173412637</c:v>
                </c:pt>
                <c:pt idx="493">
                  <c:v>841.39388612335665</c:v>
                </c:pt>
                <c:pt idx="494">
                  <c:v>844.86696428027733</c:v>
                </c:pt>
                <c:pt idx="495">
                  <c:v>848.34610205689194</c:v>
                </c:pt>
                <c:pt idx="496">
                  <c:v>851.83128530583144</c:v>
                </c:pt>
                <c:pt idx="497">
                  <c:v>855.32249889427737</c:v>
                </c:pt>
                <c:pt idx="498">
                  <c:v>858.81972571805409</c:v>
                </c:pt>
                <c:pt idx="499">
                  <c:v>862.32294768994632</c:v>
                </c:pt>
                <c:pt idx="500">
                  <c:v>865.83214672787699</c:v>
                </c:pt>
                <c:pt idx="501">
                  <c:v>869.3473047551829</c:v>
                </c:pt>
                <c:pt idx="502">
                  <c:v>872.86840370088896</c:v>
                </c:pt>
                <c:pt idx="503">
                  <c:v>876.39542549998146</c:v>
                </c:pt>
                <c:pt idx="504">
                  <c:v>879.92835209367956</c:v>
                </c:pt>
                <c:pt idx="505">
                  <c:v>883.46716542970603</c:v>
                </c:pt>
                <c:pt idx="506">
                  <c:v>887.01184746255592</c:v>
                </c:pt>
                <c:pt idx="507">
                  <c:v>890.56238015376402</c:v>
                </c:pt>
                <c:pt idx="508">
                  <c:v>894.11874547217155</c:v>
                </c:pt>
                <c:pt idx="509">
                  <c:v>897.68092539419058</c:v>
                </c:pt>
                <c:pt idx="510">
                  <c:v>901.24890190406768</c:v>
                </c:pt>
                <c:pt idx="511">
                  <c:v>904.82265699414586</c:v>
                </c:pt>
                <c:pt idx="512">
                  <c:v>908.40217266512525</c:v>
                </c:pt>
                <c:pt idx="513">
                  <c:v>911.9874309263223</c:v>
                </c:pt>
                <c:pt idx="514">
                  <c:v>915.57841379592753</c:v>
                </c:pt>
                <c:pt idx="515">
                  <c:v>919.1751033012622</c:v>
                </c:pt>
                <c:pt idx="516">
                  <c:v>922.77748147903287</c:v>
                </c:pt>
                <c:pt idx="517">
                  <c:v>926.38553037558529</c:v>
                </c:pt>
                <c:pt idx="518">
                  <c:v>929.99923204715628</c:v>
                </c:pt>
                <c:pt idx="519">
                  <c:v>933.61856856012434</c:v>
                </c:pt>
                <c:pt idx="520">
                  <c:v>937.24352199125929</c:v>
                </c:pt>
                <c:pt idx="521">
                  <c:v>940.87407442796939</c:v>
                </c:pt>
                <c:pt idx="522">
                  <c:v>944.51020796854823</c:v>
                </c:pt>
                <c:pt idx="523">
                  <c:v>948.15190472241943</c:v>
                </c:pt>
                <c:pt idx="524">
                  <c:v>951.79914681037974</c:v>
                </c:pt>
                <c:pt idx="525">
                  <c:v>955.45191636484151</c:v>
                </c:pt>
                <c:pt idx="526">
                  <c:v>959.1101955300727</c:v>
                </c:pt>
                <c:pt idx="527">
                  <c:v>962.77396646243608</c:v>
                </c:pt>
                <c:pt idx="528">
                  <c:v>966.44321133062681</c:v>
                </c:pt>
                <c:pt idx="529">
                  <c:v>970.11791231590848</c:v>
                </c:pt>
                <c:pt idx="530">
                  <c:v>973.79805161234765</c:v>
                </c:pt>
                <c:pt idx="531">
                  <c:v>977.48361142704675</c:v>
                </c:pt>
                <c:pt idx="532">
                  <c:v>981.17457398037595</c:v>
                </c:pt>
                <c:pt idx="533">
                  <c:v>984.8709215062031</c:v>
                </c:pt>
                <c:pt idx="534">
                  <c:v>988.57263625212261</c:v>
                </c:pt>
                <c:pt idx="535">
                  <c:v>992.27970047968222</c:v>
                </c:pt>
                <c:pt idx="536">
                  <c:v>995.99209646460884</c:v>
                </c:pt>
                <c:pt idx="537">
                  <c:v>999.70980649703267</c:v>
                </c:pt>
                <c:pt idx="538">
                  <c:v>1003.4328128817098</c:v>
                </c:pt>
                <c:pt idx="539">
                  <c:v>1007.1610979382432</c:v>
                </c:pt>
                <c:pt idx="540">
                  <c:v>1010.8946440013026</c:v>
                </c:pt>
                <c:pt idx="541">
                  <c:v>1014.6334334208424</c:v>
                </c:pt>
                <c:pt idx="542">
                  <c:v>1018.3774485623182</c:v>
                </c:pt>
                <c:pt idx="543">
                  <c:v>1022.1266718069024</c:v>
                </c:pt>
                <c:pt idx="544">
                  <c:v>1025.881085551697</c:v>
                </c:pt>
                <c:pt idx="545">
                  <c:v>1029.6406722099459</c:v>
                </c:pt>
                <c:pt idx="546">
                  <c:v>1033.4054142112461</c:v>
                </c:pt>
                <c:pt idx="547">
                  <c:v>1037.1752940017561</c:v>
                </c:pt>
                <c:pt idx="548">
                  <c:v>1040.9502940444031</c:v>
                </c:pt>
                <c:pt idx="549">
                  <c:v>1044.7303968190897</c:v>
                </c:pt>
                <c:pt idx="550">
                  <c:v>1048.5155841551907</c:v>
                </c:pt>
                <c:pt idx="551">
                  <c:v>1052.3058356734639</c:v>
                </c:pt>
                <c:pt idx="552">
                  <c:v>1056.101129456782</c:v>
                </c:pt>
                <c:pt idx="553">
                  <c:v>1059.901443611476</c:v>
                </c:pt>
                <c:pt idx="554">
                  <c:v>1063.7067562675916</c:v>
                </c:pt>
                <c:pt idx="555">
                  <c:v>1067.5170455791435</c:v>
                </c:pt>
                <c:pt idx="556">
                  <c:v>1071.3322897243679</c:v>
                </c:pt>
                <c:pt idx="557">
                  <c:v>1075.1524669059713</c:v>
                </c:pt>
                <c:pt idx="558">
                  <c:v>1078.9775553513787</c:v>
                </c:pt>
                <c:pt idx="559">
                  <c:v>1082.8075333129789</c:v>
                </c:pt>
                <c:pt idx="560">
                  <c:v>1086.6423790683671</c:v>
                </c:pt>
                <c:pt idx="561">
                  <c:v>1090.4820709205869</c:v>
                </c:pt>
                <c:pt idx="562">
                  <c:v>1094.3265871983681</c:v>
                </c:pt>
                <c:pt idx="563">
                  <c:v>1098.1759062563633</c:v>
                </c:pt>
                <c:pt idx="564">
                  <c:v>1102.0300064753831</c:v>
                </c:pt>
                <c:pt idx="565">
                  <c:v>1105.8888662626268</c:v>
                </c:pt>
                <c:pt idx="566">
                  <c:v>1109.7524640519139</c:v>
                </c:pt>
                <c:pt idx="567">
                  <c:v>1113.6207783039104</c:v>
                </c:pt>
                <c:pt idx="568">
                  <c:v>1117.4937875063551</c:v>
                </c:pt>
                <c:pt idx="569">
                  <c:v>1121.3714701742833</c:v>
                </c:pt>
                <c:pt idx="570">
                  <c:v>1125.253804850247</c:v>
                </c:pt>
                <c:pt idx="571">
                  <c:v>1129.1407701045343</c:v>
                </c:pt>
                <c:pt idx="572">
                  <c:v>1133.0323445353863</c:v>
                </c:pt>
                <c:pt idx="573">
                  <c:v>1136.9285067692117</c:v>
                </c:pt>
                <c:pt idx="574">
                  <c:v>1140.8292354607991</c:v>
                </c:pt>
                <c:pt idx="575">
                  <c:v>1144.734509293527</c:v>
                </c:pt>
                <c:pt idx="576">
                  <c:v>1148.6443069795723</c:v>
                </c:pt>
                <c:pt idx="577">
                  <c:v>1152.5586072601161</c:v>
                </c:pt>
                <c:pt idx="578">
                  <c:v>1156.4773889055473</c:v>
                </c:pt>
                <c:pt idx="579">
                  <c:v>1160.400630715664</c:v>
                </c:pt>
                <c:pt idx="580">
                  <c:v>1164.3283115198733</c:v>
                </c:pt>
                <c:pt idx="581">
                  <c:v>1168.2604101773886</c:v>
                </c:pt>
                <c:pt idx="582">
                  <c:v>1172.1969055774241</c:v>
                </c:pt>
                <c:pt idx="583">
                  <c:v>1176.1377766393882</c:v>
                </c:pt>
                <c:pt idx="584">
                  <c:v>1180.0830023130745</c:v>
                </c:pt>
                <c:pt idx="585">
                  <c:v>1184.0325615788502</c:v>
                </c:pt>
                <c:pt idx="586">
                  <c:v>1187.9864334478423</c:v>
                </c:pt>
                <c:pt idx="587">
                  <c:v>1191.9445969621229</c:v>
                </c:pt>
                <c:pt idx="588">
                  <c:v>1195.9070311948908</c:v>
                </c:pt>
                <c:pt idx="589">
                  <c:v>1199.8737152506517</c:v>
                </c:pt>
                <c:pt idx="590">
                  <c:v>1203.8446282653968</c:v>
                </c:pt>
                <c:pt idx="591">
                  <c:v>1207.8197494067781</c:v>
                </c:pt>
                <c:pt idx="592">
                  <c:v>1211.7990578742827</c:v>
                </c:pt>
                <c:pt idx="593">
                  <c:v>1215.7825328994043</c:v>
                </c:pt>
                <c:pt idx="594">
                  <c:v>1219.7701537458129</c:v>
                </c:pt>
                <c:pt idx="595">
                  <c:v>1223.7618997095224</c:v>
                </c:pt>
                <c:pt idx="596">
                  <c:v>1227.757750119056</c:v>
                </c:pt>
                <c:pt idx="597">
                  <c:v>1231.7576843356101</c:v>
                </c:pt>
                <c:pt idx="598">
                  <c:v>1235.7616817532146</c:v>
                </c:pt>
                <c:pt idx="599">
                  <c:v>1239.7697217988934</c:v>
                </c:pt>
                <c:pt idx="600">
                  <c:v>1243.7817839328206</c:v>
                </c:pt>
                <c:pt idx="601">
                  <c:v>1247.7978476484764</c:v>
                </c:pt>
                <c:pt idx="602">
                  <c:v>1251.8178924727995</c:v>
                </c:pt>
                <c:pt idx="603">
                  <c:v>1255.841897966339</c:v>
                </c:pt>
                <c:pt idx="604">
                  <c:v>1259.8698437234027</c:v>
                </c:pt>
                <c:pt idx="605">
                  <c:v>1263.9017093722046</c:v>
                </c:pt>
                <c:pt idx="606">
                  <c:v>1267.9374745750094</c:v>
                </c:pt>
                <c:pt idx="607">
                  <c:v>1271.9771190282763</c:v>
                </c:pt>
                <c:pt idx="608">
                  <c:v>1276.0206224627989</c:v>
                </c:pt>
                <c:pt idx="609">
                  <c:v>1280.067964643845</c:v>
                </c:pt>
                <c:pt idx="610">
                  <c:v>1284.1191253712932</c:v>
                </c:pt>
                <c:pt idx="611">
                  <c:v>1288.1740844797682</c:v>
                </c:pt>
                <c:pt idx="612">
                  <c:v>1292.2328159011945</c:v>
                </c:pt>
                <c:pt idx="613">
                  <c:v>1296.2952876749196</c:v>
                </c:pt>
                <c:pt idx="614">
                  <c:v>1300.3614678954825</c:v>
                </c:pt>
                <c:pt idx="615">
                  <c:v>1304.4313247128759</c:v>
                </c:pt>
                <c:pt idx="616">
                  <c:v>1308.5048263328038</c:v>
                </c:pt>
                <c:pt idx="617">
                  <c:v>1312.5819410169356</c:v>
                </c:pt>
                <c:pt idx="618">
                  <c:v>1316.6626370831552</c:v>
                </c:pt>
                <c:pt idx="619">
                  <c:v>1320.7468829058062</c:v>
                </c:pt>
                <c:pt idx="620">
                  <c:v>1324.8346469159328</c:v>
                </c:pt>
                <c:pt idx="621">
                  <c:v>1328.9258976015165</c:v>
                </c:pt>
                <c:pt idx="622">
                  <c:v>1333.0206035077085</c:v>
                </c:pt>
                <c:pt idx="623">
                  <c:v>1337.1187332370578</c:v>
                </c:pt>
                <c:pt idx="624">
                  <c:v>1341.2202554497353</c:v>
                </c:pt>
                <c:pt idx="625">
                  <c:v>1345.3251388637539</c:v>
                </c:pt>
                <c:pt idx="626">
                  <c:v>1349.433352255184</c:v>
                </c:pt>
                <c:pt idx="627">
                  <c:v>1353.5448644583653</c:v>
                </c:pt>
                <c:pt idx="628">
                  <c:v>1357.6596443661144</c:v>
                </c:pt>
                <c:pt idx="629">
                  <c:v>1361.7776609299278</c:v>
                </c:pt>
                <c:pt idx="630">
                  <c:v>1365.8988831601821</c:v>
                </c:pt>
                <c:pt idx="631">
                  <c:v>1370.0232801263282</c:v>
                </c:pt>
                <c:pt idx="632">
                  <c:v>1374.1508209570841</c:v>
                </c:pt>
                <c:pt idx="633">
                  <c:v>1378.2814748406211</c:v>
                </c:pt>
                <c:pt idx="634">
                  <c:v>1382.4152110247474</c:v>
                </c:pt>
                <c:pt idx="635">
                  <c:v>1386.5519988170877</c:v>
                </c:pt>
                <c:pt idx="636">
                  <c:v>1390.6918075852589</c:v>
                </c:pt>
                <c:pt idx="637">
                  <c:v>1394.8346067570405</c:v>
                </c:pt>
                <c:pt idx="638">
                  <c:v>1398.980365820544</c:v>
                </c:pt>
                <c:pt idx="639">
                  <c:v>1403.1290543243749</c:v>
                </c:pt>
                <c:pt idx="640">
                  <c:v>1407.2806418777936</c:v>
                </c:pt>
                <c:pt idx="641">
                  <c:v>1411.4350981508712</c:v>
                </c:pt>
                <c:pt idx="642">
                  <c:v>1415.592392874642</c:v>
                </c:pt>
                <c:pt idx="643">
                  <c:v>1419.7524958412516</c:v>
                </c:pt>
                <c:pt idx="644">
                  <c:v>1423.9153769041015</c:v>
                </c:pt>
                <c:pt idx="645">
                  <c:v>1428.0810059779908</c:v>
                </c:pt>
                <c:pt idx="646">
                  <c:v>1432.2493365822081</c:v>
                </c:pt>
                <c:pt idx="647">
                  <c:v>1436.4203040432988</c:v>
                </c:pt>
                <c:pt idx="648">
                  <c:v>1440.593841988584</c:v>
                </c:pt>
                <c:pt idx="649">
                  <c:v>1444.7698841802992</c:v>
                </c:pt>
                <c:pt idx="650">
                  <c:v>1448.9483645163125</c:v>
                </c:pt>
                <c:pt idx="651">
                  <c:v>1453.1292170308272</c:v>
                </c:pt>
                <c:pt idx="652">
                  <c:v>1457.3123758950676</c:v>
                </c:pt>
                <c:pt idx="653">
                  <c:v>1461.4977754179488</c:v>
                </c:pt>
                <c:pt idx="654">
                  <c:v>1465.6853500467309</c:v>
                </c:pt>
                <c:pt idx="655">
                  <c:v>1469.8750343676566</c:v>
                </c:pt>
                <c:pt idx="656">
                  <c:v>1474.0667631065728</c:v>
                </c:pt>
                <c:pt idx="657">
                  <c:v>1478.2604711295382</c:v>
                </c:pt>
                <c:pt idx="658">
                  <c:v>1482.456093443413</c:v>
                </c:pt>
                <c:pt idx="659">
                  <c:v>1486.6535651964339</c:v>
                </c:pt>
                <c:pt idx="660">
                  <c:v>1490.8528216787743</c:v>
                </c:pt>
                <c:pt idx="661">
                  <c:v>1495.0537983230879</c:v>
                </c:pt>
                <c:pt idx="662">
                  <c:v>1499.2564307050384</c:v>
                </c:pt>
                <c:pt idx="663">
                  <c:v>1503.4606545438126</c:v>
                </c:pt>
                <c:pt idx="664">
                  <c:v>1507.6664057026198</c:v>
                </c:pt>
                <c:pt idx="665">
                  <c:v>1511.8736201891752</c:v>
                </c:pt>
                <c:pt idx="666">
                  <c:v>1516.0821992991389</c:v>
                </c:pt>
                <c:pt idx="667">
                  <c:v>1520.292000976702</c:v>
                </c:pt>
                <c:pt idx="668">
                  <c:v>1524.5028747730146</c:v>
                </c:pt>
                <c:pt idx="669">
                  <c:v>1528.7146705889572</c:v>
                </c:pt>
                <c:pt idx="670">
                  <c:v>1532.9272386785649</c:v>
                </c:pt>
                <c:pt idx="671">
                  <c:v>1537.1404296523685</c:v>
                </c:pt>
                <c:pt idx="672">
                  <c:v>1541.3540944806548</c:v>
                </c:pt>
                <c:pt idx="673">
                  <c:v>1545.5680844966464</c:v>
                </c:pt>
                <c:pt idx="674">
                  <c:v>1549.7822513996</c:v>
                </c:pt>
                <c:pt idx="675">
                  <c:v>1553.9964472578258</c:v>
                </c:pt>
                <c:pt idx="676">
                  <c:v>1558.2105245116265</c:v>
                </c:pt>
                <c:pt idx="677">
                  <c:v>1562.4243359761572</c:v>
                </c:pt>
                <c:pt idx="678">
                  <c:v>1566.6377348442065</c:v>
                </c:pt>
                <c:pt idx="679">
                  <c:v>1570.8505746889007</c:v>
                </c:pt>
                <c:pt idx="680">
                  <c:v>1575.0627094663278</c:v>
                </c:pt>
                <c:pt idx="681">
                  <c:v>1579.2739935180871</c:v>
                </c:pt>
                <c:pt idx="682">
                  <c:v>1583.4842815737602</c:v>
                </c:pt>
                <c:pt idx="683">
                  <c:v>1587.6934287533063</c:v>
                </c:pt>
                <c:pt idx="684">
                  <c:v>1591.9012905693828</c:v>
                </c:pt>
                <c:pt idx="685">
                  <c:v>1596.1077229295893</c:v>
                </c:pt>
                <c:pt idx="686">
                  <c:v>1600.3125821386388</c:v>
                </c:pt>
                <c:pt idx="687">
                  <c:v>1604.515724900454</c:v>
                </c:pt>
                <c:pt idx="688">
                  <c:v>1608.7170083201902</c:v>
                </c:pt>
                <c:pt idx="689">
                  <c:v>1612.9162899061864</c:v>
                </c:pt>
                <c:pt idx="690">
                  <c:v>1617.1134275718439</c:v>
                </c:pt>
                <c:pt idx="691">
                  <c:v>1621.3082796374324</c:v>
                </c:pt>
                <c:pt idx="692">
                  <c:v>1625.5007048318271</c:v>
                </c:pt>
                <c:pt idx="693">
                  <c:v>1629.6905622941738</c:v>
                </c:pt>
                <c:pt idx="694">
                  <c:v>1633.8777115754863</c:v>
                </c:pt>
                <c:pt idx="695">
                  <c:v>1638.0620126401725</c:v>
                </c:pt>
                <c:pt idx="696">
                  <c:v>1642.2433258674946</c:v>
                </c:pt>
                <c:pt idx="697">
                  <c:v>1646.4215120529598</c:v>
                </c:pt>
                <c:pt idx="698">
                  <c:v>1650.5964324096451</c:v>
                </c:pt>
                <c:pt idx="699">
                  <c:v>1654.7679485694553</c:v>
                </c:pt>
                <c:pt idx="700">
                  <c:v>1658.9359225843154</c:v>
                </c:pt>
                <c:pt idx="701">
                  <c:v>1663.1002169272988</c:v>
                </c:pt>
                <c:pt idx="702">
                  <c:v>1667.2606944936897</c:v>
                </c:pt>
                <c:pt idx="703">
                  <c:v>1671.4172186019837</c:v>
                </c:pt>
                <c:pt idx="704">
                  <c:v>1675.5696529948236</c:v>
                </c:pt>
                <c:pt idx="705">
                  <c:v>1679.7178618398755</c:v>
                </c:pt>
                <c:pt idx="706">
                  <c:v>1683.8617097306403</c:v>
                </c:pt>
                <c:pt idx="707">
                  <c:v>1688.0010616872073</c:v>
                </c:pt>
                <c:pt idx="708">
                  <c:v>1692.1357822127266</c:v>
                </c:pt>
                <c:pt idx="709">
                  <c:v>1696.2657267977622</c:v>
                </c:pt>
                <c:pt idx="710">
                  <c:v>1700.3907428978966</c:v>
                </c:pt>
                <c:pt idx="711">
                  <c:v>1704.5106784636366</c:v>
                </c:pt>
                <c:pt idx="712">
                  <c:v>1708.6253819414571</c:v>
                </c:pt>
                <c:pt idx="713">
                  <c:v>1712.7347022747686</c:v>
                </c:pt>
                <c:pt idx="714">
                  <c:v>1716.8384889048079</c:v>
                </c:pt>
                <c:pt idx="715">
                  <c:v>1720.9365917714547</c:v>
                </c:pt>
                <c:pt idx="716">
                  <c:v>1725.0288613139726</c:v>
                </c:pt>
                <c:pt idx="717">
                  <c:v>1729.1151484716786</c:v>
                </c:pt>
                <c:pt idx="718">
                  <c:v>1733.1953046845385</c:v>
                </c:pt>
                <c:pt idx="719">
                  <c:v>1737.2691818936921</c:v>
                </c:pt>
                <c:pt idx="720">
                  <c:v>1741.3366325419074</c:v>
                </c:pt>
                <c:pt idx="721">
                  <c:v>1745.3975095739654</c:v>
                </c:pt>
                <c:pt idx="722">
                  <c:v>1749.4516664369769</c:v>
                </c:pt>
                <c:pt idx="723">
                  <c:v>1753.4989570806304</c:v>
                </c:pt>
                <c:pt idx="724">
                  <c:v>1757.5392359573743</c:v>
                </c:pt>
                <c:pt idx="725">
                  <c:v>1761.5722381298976</c:v>
                </c:pt>
                <c:pt idx="726">
                  <c:v>1765.5975283828532</c:v>
                </c:pt>
                <c:pt idx="727">
                  <c:v>1769.6148788286596</c:v>
                </c:pt>
                <c:pt idx="728">
                  <c:v>1773.6243194517308</c:v>
                </c:pt>
                <c:pt idx="729">
                  <c:v>1777.6258800519868</c:v>
                </c:pt>
                <c:pt idx="730">
                  <c:v>1781.6195902463794</c:v>
                </c:pt>
                <c:pt idx="731">
                  <c:v>1785.6054794704039</c:v>
                </c:pt>
                <c:pt idx="732">
                  <c:v>1789.5835769795935</c:v>
                </c:pt>
                <c:pt idx="733">
                  <c:v>1793.5539118509996</c:v>
                </c:pt>
                <c:pt idx="734">
                  <c:v>1797.5165129846557</c:v>
                </c:pt>
                <c:pt idx="735">
                  <c:v>1801.4714091050266</c:v>
                </c:pt>
                <c:pt idx="736">
                  <c:v>1805.4186287624429</c:v>
                </c:pt>
                <c:pt idx="737">
                  <c:v>1809.3582003345207</c:v>
                </c:pt>
                <c:pt idx="738">
                  <c:v>1813.2901520275661</c:v>
                </c:pt>
                <c:pt idx="739">
                  <c:v>1817.2145118779667</c:v>
                </c:pt>
                <c:pt idx="740">
                  <c:v>1821.1313077535674</c:v>
                </c:pt>
                <c:pt idx="741">
                  <c:v>1825.0405673550333</c:v>
                </c:pt>
                <c:pt idx="742">
                  <c:v>1828.9423182171979</c:v>
                </c:pt>
                <c:pt idx="743">
                  <c:v>1832.8365877103984</c:v>
                </c:pt>
                <c:pt idx="744">
                  <c:v>1836.7234030417969</c:v>
                </c:pt>
                <c:pt idx="745">
                  <c:v>1840.6027912566888</c:v>
                </c:pt>
                <c:pt idx="746">
                  <c:v>1844.4747792397973</c:v>
                </c:pt>
                <c:pt idx="747">
                  <c:v>1848.3393937165556</c:v>
                </c:pt>
                <c:pt idx="748">
                  <c:v>1852.1966612543758</c:v>
                </c:pt>
                <c:pt idx="749">
                  <c:v>1856.0466082639052</c:v>
                </c:pt>
                <c:pt idx="750">
                  <c:v>1859.8892610002699</c:v>
                </c:pt>
                <c:pt idx="751">
                  <c:v>1863.7246455643065</c:v>
                </c:pt>
                <c:pt idx="752">
                  <c:v>1867.5527879037809</c:v>
                </c:pt>
                <c:pt idx="753">
                  <c:v>1871.3737138145955</c:v>
                </c:pt>
                <c:pt idx="754">
                  <c:v>1875.187448941984</c:v>
                </c:pt>
                <c:pt idx="755">
                  <c:v>1878.9940187816949</c:v>
                </c:pt>
                <c:pt idx="756">
                  <c:v>1882.7934486811625</c:v>
                </c:pt>
                <c:pt idx="757">
                  <c:v>1886.5857638406674</c:v>
                </c:pt>
                <c:pt idx="758">
                  <c:v>1890.3709893144846</c:v>
                </c:pt>
                <c:pt idx="759">
                  <c:v>1894.1491500120212</c:v>
                </c:pt>
                <c:pt idx="760">
                  <c:v>1897.9202706989424</c:v>
                </c:pt>
                <c:pt idx="761">
                  <c:v>1901.6843759982867</c:v>
                </c:pt>
                <c:pt idx="762">
                  <c:v>1905.4414903915695</c:v>
                </c:pt>
                <c:pt idx="763">
                  <c:v>1909.1916382198779</c:v>
                </c:pt>
                <c:pt idx="764">
                  <c:v>1912.9348436849527</c:v>
                </c:pt>
                <c:pt idx="765">
                  <c:v>1916.6711308502611</c:v>
                </c:pt>
                <c:pt idx="766">
                  <c:v>1920.4005236420583</c:v>
                </c:pt>
                <c:pt idx="767">
                  <c:v>1924.1230458504399</c:v>
                </c:pt>
                <c:pt idx="768">
                  <c:v>1927.8387211303832</c:v>
                </c:pt>
                <c:pt idx="769">
                  <c:v>1931.5475730027786</c:v>
                </c:pt>
                <c:pt idx="770">
                  <c:v>1935.2496248554519</c:v>
                </c:pt>
                <c:pt idx="771">
                  <c:v>1938.9448999441754</c:v>
                </c:pt>
                <c:pt idx="772">
                  <c:v>1942.6334213936709</c:v>
                </c:pt>
                <c:pt idx="773">
                  <c:v>1946.3152121986022</c:v>
                </c:pt>
                <c:pt idx="774">
                  <c:v>1949.9902952245577</c:v>
                </c:pt>
                <c:pt idx="775">
                  <c:v>1953.6586932090252</c:v>
                </c:pt>
                <c:pt idx="776">
                  <c:v>1957.320428762356</c:v>
                </c:pt>
                <c:pt idx="777">
                  <c:v>1960.9755243687202</c:v>
                </c:pt>
                <c:pt idx="778">
                  <c:v>1964.6240023870541</c:v>
                </c:pt>
                <c:pt idx="779">
                  <c:v>1968.2658850519965</c:v>
                </c:pt>
                <c:pt idx="780">
                  <c:v>1971.9011944748181</c:v>
                </c:pt>
                <c:pt idx="781">
                  <c:v>1975.5299526443418</c:v>
                </c:pt>
                <c:pt idx="782">
                  <c:v>1979.1521814278535</c:v>
                </c:pt>
                <c:pt idx="783">
                  <c:v>1982.7679025720051</c:v>
                </c:pt>
                <c:pt idx="784">
                  <c:v>1986.377137703709</c:v>
                </c:pt>
                <c:pt idx="785">
                  <c:v>1989.9799083310238</c:v>
                </c:pt>
                <c:pt idx="786">
                  <c:v>1993.5762358440329</c:v>
                </c:pt>
                <c:pt idx="787">
                  <c:v>1997.1661415157134</c:v>
                </c:pt>
                <c:pt idx="788">
                  <c:v>2000.749646502798</c:v>
                </c:pt>
                <c:pt idx="789">
                  <c:v>2004.3267718466284</c:v>
                </c:pt>
                <c:pt idx="790">
                  <c:v>2007.8975384740017</c:v>
                </c:pt>
                <c:pt idx="791">
                  <c:v>2011.4619671980076</c:v>
                </c:pt>
                <c:pt idx="792">
                  <c:v>2015.0200787188592</c:v>
                </c:pt>
                <c:pt idx="793">
                  <c:v>2018.5718936247149</c:v>
                </c:pt>
                <c:pt idx="794">
                  <c:v>2022.1174323924945</c:v>
                </c:pt>
                <c:pt idx="795">
                  <c:v>2025.6567153886858</c:v>
                </c:pt>
                <c:pt idx="796">
                  <c:v>2029.1897628701458</c:v>
                </c:pt>
                <c:pt idx="797">
                  <c:v>2032.7165949848929</c:v>
                </c:pt>
                <c:pt idx="798">
                  <c:v>2036.237231772893</c:v>
                </c:pt>
                <c:pt idx="799">
                  <c:v>2039.7516931668379</c:v>
                </c:pt>
                <c:pt idx="800">
                  <c:v>2043.2599989929172</c:v>
                </c:pt>
                <c:pt idx="801">
                  <c:v>2078.0060281708388</c:v>
                </c:pt>
                <c:pt idx="802">
                  <c:v>2112.1491323008649</c:v>
                </c:pt>
                <c:pt idx="803">
                  <c:v>2145.7081616910705</c:v>
                </c:pt>
                <c:pt idx="804">
                  <c:v>2178.7009966273408</c:v>
                </c:pt>
                <c:pt idx="805">
                  <c:v>2211.1446135806937</c:v>
                </c:pt>
                <c:pt idx="806">
                  <c:v>2243.0551458048767</c:v>
                </c:pt>
                <c:pt idx="807">
                  <c:v>2274.4479388887657</c:v>
                </c:pt>
                <c:pt idx="808">
                  <c:v>2305.3376017625756</c:v>
                </c:pt>
                <c:pt idx="809">
                  <c:v>2335.7380535999819</c:v>
                </c:pt>
                <c:pt idx="810">
                  <c:v>2365.6625670086482</c:v>
                </c:pt>
                <c:pt idx="811">
                  <c:v>2395.1238078583497</c:v>
                </c:pt>
                <c:pt idx="812">
                  <c:v>2424.1338720579597</c:v>
                </c:pt>
                <c:pt idx="813">
                  <c:v>2452.7043195593083</c:v>
                </c:pt>
                <c:pt idx="814">
                  <c:v>2480.8462058366677</c:v>
                </c:pt>
                <c:pt idx="815">
                  <c:v>2508.5701110648524</c:v>
                </c:pt>
                <c:pt idx="816">
                  <c:v>2535.8861671961658</c:v>
                </c:pt>
                <c:pt idx="817">
                  <c:v>2562.8040831162975</c:v>
                </c:pt>
                <c:pt idx="818">
                  <c:v>2589.3331680414367</c:v>
                </c:pt>
                <c:pt idx="819">
                  <c:v>2615.4823533030199</c:v>
                </c:pt>
                <c:pt idx="820">
                  <c:v>2641.2602126524462</c:v>
                </c:pt>
                <c:pt idx="821">
                  <c:v>2666.6749812055318</c:v>
                </c:pt>
                <c:pt idx="822">
                  <c:v>2691.7345731352621</c:v>
                </c:pt>
                <c:pt idx="823">
                  <c:v>2716.446598211387</c:v>
                </c:pt>
                <c:pt idx="824">
                  <c:v>2740.8183772764237</c:v>
                </c:pt>
                <c:pt idx="825">
                  <c:v>2764.856956739583</c:v>
                </c:pt>
                <c:pt idx="826">
                  <c:v>2788.5691221629049</c:v>
                </c:pt>
                <c:pt idx="827">
                  <c:v>2811.9614110073899</c:v>
                </c:pt>
                <c:pt idx="828">
                  <c:v>2835.040124601046</c:v>
                </c:pt>
                <c:pt idx="829">
                  <c:v>2857.8113393854924</c:v>
                </c:pt>
                <c:pt idx="830">
                  <c:v>2880.280917492983</c:v>
                </c:pt>
                <c:pt idx="831">
                  <c:v>2902.4545167013976</c:v>
                </c:pt>
                <c:pt idx="832">
                  <c:v>2924.3375998108363</c:v>
                </c:pt>
                <c:pt idx="833">
                  <c:v>2945.9354434819061</c:v>
                </c:pt>
                <c:pt idx="834">
                  <c:v>2967.2531465725715</c:v>
                </c:pt>
                <c:pt idx="835">
                  <c:v>2988.2956380075125</c:v>
                </c:pt>
                <c:pt idx="836">
                  <c:v>3009.0676842112707</c:v>
                </c:pt>
                <c:pt idx="837">
                  <c:v>3029.5738961340426</c:v>
                </c:pt>
                <c:pt idx="838">
                  <c:v>3049.8187358967552</c:v>
                </c:pt>
                <c:pt idx="839">
                  <c:v>3069.8065230800562</c:v>
                </c:pt>
                <c:pt idx="840">
                  <c:v>3089.5414406799864</c:v>
                </c:pt>
                <c:pt idx="841">
                  <c:v>3109.0275407514282</c:v>
                </c:pt>
                <c:pt idx="842">
                  <c:v>3128.2687497588645</c:v>
                </c:pt>
                <c:pt idx="843">
                  <c:v>3147.2688736525733</c:v>
                </c:pt>
                <c:pt idx="844">
                  <c:v>3166.0316026870764</c:v>
                </c:pt>
                <c:pt idx="845">
                  <c:v>3184.5605159974684</c:v>
                </c:pt>
                <c:pt idx="846">
                  <c:v>3202.8590859481506</c:v>
                </c:pt>
                <c:pt idx="847">
                  <c:v>3220.9306822674848</c:v>
                </c:pt>
                <c:pt idx="848">
                  <c:v>3238.7785759809522</c:v>
                </c:pt>
                <c:pt idx="849">
                  <c:v>3256.4059431545388</c:v>
                </c:pt>
                <c:pt idx="850">
                  <c:v>3273.8158684592868</c:v>
                </c:pt>
                <c:pt idx="851">
                  <c:v>3291.0113485672064</c:v>
                </c:pt>
                <c:pt idx="852">
                  <c:v>3307.9952953880829</c:v>
                </c:pt>
                <c:pt idx="853">
                  <c:v>3324.7705391560735</c:v>
                </c:pt>
                <c:pt idx="854">
                  <c:v>3341.3398313744233</c:v>
                </c:pt>
                <c:pt idx="855">
                  <c:v>3357.7058476260854</c:v>
                </c:pt>
                <c:pt idx="856">
                  <c:v>3373.8711902575387</c:v>
                </c:pt>
                <c:pt idx="857">
                  <c:v>3389.8383909426329</c:v>
                </c:pt>
                <c:pt idx="858">
                  <c:v>3405.6099131328679</c:v>
                </c:pt>
                <c:pt idx="859">
                  <c:v>3421.1881544001117</c:v>
                </c:pt>
                <c:pt idx="860">
                  <c:v>3436.5754486773963</c:v>
                </c:pt>
                <c:pt idx="861">
                  <c:v>3451.7740684030882</c:v>
                </c:pt>
                <c:pt idx="862">
                  <c:v>3466.7862265734057</c:v>
                </c:pt>
                <c:pt idx="863">
                  <c:v>3481.6140787079644</c:v>
                </c:pt>
                <c:pt idx="864">
                  <c:v>3496.259724732749</c:v>
                </c:pt>
                <c:pt idx="865">
                  <c:v>3510.7252107846566</c:v>
                </c:pt>
                <c:pt idx="866">
                  <c:v>3525.0125309415107</c:v>
                </c:pt>
                <c:pt idx="867">
                  <c:v>3539.1236288812202</c:v>
                </c:pt>
                <c:pt idx="868">
                  <c:v>3553.0603994735529</c:v>
                </c:pt>
                <c:pt idx="869">
                  <c:v>3566.8246903077898</c:v>
                </c:pt>
                <c:pt idx="870">
                  <c:v>3580.4183031593416</c:v>
                </c:pt>
                <c:pt idx="871">
                  <c:v>3593.8429953982477</c:v>
                </c:pt>
                <c:pt idx="872">
                  <c:v>3607.1004813423015</c:v>
                </c:pt>
                <c:pt idx="873">
                  <c:v>3620.1924335574058</c:v>
                </c:pt>
                <c:pt idx="874">
                  <c:v>3633.1204841076169</c:v>
                </c:pt>
                <c:pt idx="875">
                  <c:v>3645.8862257572027</c:v>
                </c:pt>
                <c:pt idx="876">
                  <c:v>3658.4912131269157</c:v>
                </c:pt>
                <c:pt idx="877">
                  <c:v>3670.9369638065659</c:v>
                </c:pt>
                <c:pt idx="878">
                  <c:v>3683.2249594258692</c:v>
                </c:pt>
                <c:pt idx="879">
                  <c:v>3695.3566466854413</c:v>
                </c:pt>
                <c:pt idx="880">
                  <c:v>3707.3334383497104</c:v>
                </c:pt>
                <c:pt idx="881">
                  <c:v>3719.1567142034351</c:v>
                </c:pt>
                <c:pt idx="882">
                  <c:v>3730.827821973422</c:v>
                </c:pt>
                <c:pt idx="883">
                  <c:v>3742.3480782169599</c:v>
                </c:pt>
                <c:pt idx="884">
                  <c:v>3753.7187691784125</c:v>
                </c:pt>
                <c:pt idx="885">
                  <c:v>3764.9411516153359</c:v>
                </c:pt>
                <c:pt idx="886">
                  <c:v>3776.0164535954241</c:v>
                </c:pt>
                <c:pt idx="887">
                  <c:v>3786.9458752655169</c:v>
                </c:pt>
                <c:pt idx="888">
                  <c:v>3797.7305895938521</c:v>
                </c:pt>
                <c:pt idx="889">
                  <c:v>3808.3717430866759</c:v>
                </c:pt>
                <c:pt idx="890">
                  <c:v>3818.8704564802852</c:v>
                </c:pt>
                <c:pt idx="891">
                  <c:v>3829.2278254095122</c:v>
                </c:pt>
                <c:pt idx="892">
                  <c:v>3839.444921053625</c:v>
                </c:pt>
                <c:pt idx="893">
                  <c:v>3849.522790760564</c:v>
                </c:pt>
                <c:pt idx="894">
                  <c:v>3859.4624586503951</c:v>
                </c:pt>
                <c:pt idx="895">
                  <c:v>3869.264926198824</c:v>
                </c:pt>
                <c:pt idx="896">
                  <c:v>3878.9311728015687</c:v>
                </c:pt>
                <c:pt idx="897">
                  <c:v>3888.4621563203596</c:v>
                </c:pt>
                <c:pt idx="898">
                  <c:v>3897.8588136112994</c:v>
                </c:pt>
                <c:pt idx="899">
                  <c:v>3907.1220610362816</c:v>
                </c:pt>
                <c:pt idx="900">
                  <c:v>3916.2527949581363</c:v>
                </c:pt>
                <c:pt idx="901">
                  <c:v>3925.2518922201466</c:v>
                </c:pt>
                <c:pt idx="902">
                  <c:v>3934.1202106105443</c:v>
                </c:pt>
                <c:pt idx="903">
                  <c:v>3942.8585893125755</c:v>
                </c:pt>
                <c:pt idx="904">
                  <c:v>3951.4678493406968</c:v>
                </c:pt>
                <c:pt idx="905">
                  <c:v>3959.9487939634414</c:v>
                </c:pt>
                <c:pt idx="906">
                  <c:v>3968.3022091134726</c:v>
                </c:pt>
                <c:pt idx="907">
                  <c:v>3976.5288637853196</c:v>
                </c:pt>
                <c:pt idx="908">
                  <c:v>3984.6295104212741</c:v>
                </c:pt>
                <c:pt idx="909">
                  <c:v>3992.6048852859035</c:v>
                </c:pt>
                <c:pt idx="910">
                  <c:v>4000.4557088296215</c:v>
                </c:pt>
                <c:pt idx="911">
                  <c:v>4008.1826860417373</c:v>
                </c:pt>
                <c:pt idx="912">
                  <c:v>4015.7865067933944</c:v>
                </c:pt>
                <c:pt idx="913">
                  <c:v>4023.2678461707878</c:v>
                </c:pt>
                <c:pt idx="914">
                  <c:v>4030.6273647990361</c:v>
                </c:pt>
                <c:pt idx="915">
                  <c:v>4037.8657091570776</c:v>
                </c:pt>
                <c:pt idx="916">
                  <c:v>4044.9835118839364</c:v>
                </c:pt>
                <c:pt idx="917">
                  <c:v>4051.9813920767024</c:v>
                </c:pt>
                <c:pt idx="918">
                  <c:v>4058.8599555805486</c:v>
                </c:pt>
                <c:pt idx="919">
                  <c:v>4065.6197952711068</c:v>
                </c:pt>
                <c:pt idx="920">
                  <c:v>4072.2614913295051</c:v>
                </c:pt>
                <c:pt idx="921">
                  <c:v>4078.7856115103673</c:v>
                </c:pt>
                <c:pt idx="922">
                  <c:v>4085.1927114030586</c:v>
                </c:pt>
                <c:pt idx="923">
                  <c:v>4091.4833346864611</c:v>
                </c:pt>
                <c:pt idx="924">
                  <c:v>4097.6580133775451</c:v>
                </c:pt>
                <c:pt idx="925">
                  <c:v>4103.7172680740068</c:v>
                </c:pt>
                <c:pt idx="926">
                  <c:v>4109.6616081912189</c:v>
                </c:pt>
                <c:pt idx="927">
                  <c:v>4115.491532193756</c:v>
                </c:pt>
                <c:pt idx="928">
                  <c:v>4121.2075278217244</c:v>
                </c:pt>
                <c:pt idx="929">
                  <c:v>4126.8100723121424</c:v>
                </c:pt>
                <c:pt idx="930">
                  <c:v>4132.2996326156008</c:v>
                </c:pt>
                <c:pt idx="931">
                  <c:v>4137.6766656084264</c:v>
                </c:pt>
                <c:pt idx="932">
                  <c:v>4142.9416183005715</c:v>
                </c:pt>
                <c:pt idx="933">
                  <c:v>4148.0949280394434</c:v>
                </c:pt>
                <c:pt idx="934">
                  <c:v>4153.1370227098887</c:v>
                </c:pt>
                <c:pt idx="935">
                  <c:v>4158.0683209305334</c:v>
                </c:pt>
                <c:pt idx="936">
                  <c:v>4162.8892322466909</c:v>
                </c:pt>
                <c:pt idx="937">
                  <c:v>4167.6001573200238</c:v>
                </c:pt>
                <c:pt idx="938">
                  <c:v>4172.2014881151681</c:v>
                </c:pt>
                <c:pt idx="939">
                  <c:v>4176.6936080835012</c:v>
                </c:pt>
                <c:pt idx="940">
                  <c:v>4181.0768923442456</c:v>
                </c:pt>
                <c:pt idx="941">
                  <c:v>4185.3517078630948</c:v>
                </c:pt>
                <c:pt idx="942">
                  <c:v>4189.518413628537</c:v>
                </c:pt>
                <c:pt idx="943">
                  <c:v>4193.577360826057</c:v>
                </c:pt>
                <c:pt idx="944">
                  <c:v>4197.5288930103925</c:v>
                </c:pt>
                <c:pt idx="945">
                  <c:v>4201.3733462760119</c:v>
                </c:pt>
                <c:pt idx="946">
                  <c:v>4205.1110494259819</c:v>
                </c:pt>
                <c:pt idx="947">
                  <c:v>4208.7423241393899</c:v>
                </c:pt>
                <c:pt idx="948">
                  <c:v>4212.2674851374786</c:v>
                </c:pt>
                <c:pt idx="949">
                  <c:v>4215.6868403486478</c:v>
                </c:pt>
                <c:pt idx="950">
                  <c:v>4219.0006910724815</c:v>
                </c:pt>
                <c:pt idx="951">
                  <c:v>4222.2093321429347</c:v>
                </c:pt>
                <c:pt idx="952">
                  <c:v>4225.3130520908389</c:v>
                </c:pt>
                <c:pt idx="953">
                  <c:v>4228.3121333058443</c:v>
                </c:pt>
                <c:pt idx="954">
                  <c:v>4231.206852197949</c:v>
                </c:pt>
                <c:pt idx="955">
                  <c:v>4233.9974793587271</c:v>
                </c:pt>
                <c:pt idx="956">
                  <c:v>4236.6842797223835</c:v>
                </c:pt>
                <c:pt idx="957">
                  <c:v>4239.2675127267421</c:v>
                </c:pt>
                <c:pt idx="958">
                  <c:v>4241.7474324742816</c:v>
                </c:pt>
                <c:pt idx="959">
                  <c:v>4244.1242878933062</c:v>
                </c:pt>
                <c:pt idx="960">
                  <c:v>4246.3983228993511</c:v>
                </c:pt>
                <c:pt idx="961">
                  <c:v>4248.5697765568939</c:v>
                </c:pt>
                <c:pt idx="962">
                  <c:v>4250.638883241455</c:v>
                </c:pt>
                <c:pt idx="963">
                  <c:v>4252.6058728021362</c:v>
                </c:pt>
                <c:pt idx="964">
                  <c:v>4254.4709707246602</c:v>
                </c:pt>
                <c:pt idx="965">
                  <c:v>4256.2343982949451</c:v>
                </c:pt>
                <c:pt idx="966">
                  <c:v>4257.8963727632427</c:v>
                </c:pt>
                <c:pt idx="967">
                  <c:v>4259.4571075088616</c:v>
                </c:pt>
                <c:pt idx="968">
                  <c:v>4260.9168122054798</c:v>
                </c:pt>
                <c:pt idx="969">
                  <c:v>4262.2756929870375</c:v>
                </c:pt>
                <c:pt idx="970">
                  <c:v>4263.5339526141879</c:v>
                </c:pt>
                <c:pt idx="971">
                  <c:v>4264.6917906412782</c:v>
                </c:pt>
                <c:pt idx="972">
                  <c:v>4265.7494035838108</c:v>
                </c:pt>
                <c:pt idx="973">
                  <c:v>4266.7069850863254</c:v>
                </c:pt>
                <c:pt idx="974">
                  <c:v>4267.5647260906289</c:v>
                </c:pt>
                <c:pt idx="975">
                  <c:v>4268.3228150042869</c:v>
                </c:pt>
                <c:pt idx="976">
                  <c:v>4268.981437869279</c:v>
                </c:pt>
                <c:pt idx="977">
                  <c:v>4269.5407785307098</c:v>
                </c:pt>
                <c:pt idx="978">
                  <c:v>4270.0010188054439</c:v>
                </c:pt>
                <c:pt idx="979">
                  <c:v>4270.3623386505415</c:v>
                </c:pt>
                <c:pt idx="980">
                  <c:v>4270.624916331346</c:v>
                </c:pt>
                <c:pt idx="981">
                  <c:v>4270.7889285890678</c:v>
                </c:pt>
                <c:pt idx="982">
                  <c:v>4270.8545508077032</c:v>
                </c:pt>
                <c:pt idx="983">
                  <c:v>4270.8219571801219</c:v>
                </c:pt>
                <c:pt idx="984">
                  <c:v>4270.6913208731448</c:v>
                </c:pt>
                <c:pt idx="985">
                  <c:v>4270.4628141914263</c:v>
                </c:pt>
                <c:pt idx="986">
                  <c:v>4270.1366087399656</c:v>
                </c:pt>
                <c:pt idx="987">
                  <c:v>4269.7128755850508</c:v>
                </c:pt>
                <c:pt idx="988">
                  <c:v>4269.191785413449</c:v>
                </c:pt>
                <c:pt idx="989">
                  <c:v>4268.5735086896611</c:v>
                </c:pt>
                <c:pt idx="990">
                  <c:v>4267.858215811043</c:v>
                </c:pt>
                <c:pt idx="991">
                  <c:v>4267.0460772606157</c:v>
                </c:pt>
                <c:pt idx="992">
                  <c:v>4266.137263757385</c:v>
                </c:pt>
                <c:pt idx="993">
                  <c:v>4265.1319464039952</c:v>
                </c:pt>
                <c:pt idx="994">
                  <c:v>4264.0302968315455</c:v>
                </c:pt>
                <c:pt idx="995">
                  <c:v>4262.832487341414</c:v>
                </c:pt>
                <c:pt idx="996">
                  <c:v>4261.5386910439329</c:v>
                </c:pt>
                <c:pt idx="997">
                  <c:v>4260.1490819937799</c:v>
                </c:pt>
                <c:pt idx="998">
                  <c:v>4258.6638353219414</c:v>
                </c:pt>
                <c:pt idx="999">
                  <c:v>4257.0831273641406</c:v>
                </c:pt>
                <c:pt idx="1000">
                  <c:v>4255.4071357856101</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0</c:v>
                </c:pt>
                <c:pt idx="1">
                  <c:v>0</c:v>
                </c:pt>
                <c:pt idx="2">
                  <c:v>1.6080661865225683E-4</c:v>
                </c:pt>
                <c:pt idx="3">
                  <c:v>8.3228455394329193E-4</c:v>
                </c:pt>
                <c:pt idx="4">
                  <c:v>2.3926906529286693E-3</c:v>
                </c:pt>
                <c:pt idx="5">
                  <c:v>5.1476838067296762E-3</c:v>
                </c:pt>
                <c:pt idx="6">
                  <c:v>9.2573568601109005E-3</c:v>
                </c:pt>
                <c:pt idx="7">
                  <c:v>1.4809023541683435E-2</c:v>
                </c:pt>
                <c:pt idx="8">
                  <c:v>2.1890096423310731E-2</c:v>
                </c:pt>
                <c:pt idx="9">
                  <c:v>3.0568247627811324E-2</c:v>
                </c:pt>
                <c:pt idx="10">
                  <c:v>4.0871533605907936E-2</c:v>
                </c:pt>
                <c:pt idx="11">
                  <c:v>5.2808188179862922E-2</c:v>
                </c:pt>
                <c:pt idx="12">
                  <c:v>6.63864492233881E-2</c:v>
                </c:pt>
                <c:pt idx="13">
                  <c:v>8.16145586153883E-2</c:v>
                </c:pt>
                <c:pt idx="14">
                  <c:v>9.8500762193153998E-2</c:v>
                </c:pt>
                <c:pt idx="15">
                  <c:v>0.11705330970500193</c:v>
                </c:pt>
                <c:pt idx="16">
                  <c:v>0.1372804547623627</c:v>
                </c:pt>
                <c:pt idx="17">
                  <c:v>0.15919045479131422</c:v>
                </c:pt>
                <c:pt idx="18">
                  <c:v>0.18279157098356003</c:v>
                </c:pt>
                <c:pt idx="19">
                  <c:v>0.20809206824685145</c:v>
                </c:pt>
                <c:pt idx="20">
                  <c:v>0.23510021515485252</c:v>
                </c:pt>
                <c:pt idx="21">
                  <c:v>0.26382289470065923</c:v>
                </c:pt>
                <c:pt idx="22">
                  <c:v>0.29426351768210829</c:v>
                </c:pt>
                <c:pt idx="23">
                  <c:v>0.32642340731772723</c:v>
                </c:pt>
                <c:pt idx="24">
                  <c:v>0.36030388124494517</c:v>
                </c:pt>
                <c:pt idx="25">
                  <c:v>0.39590625149781145</c:v>
                </c:pt>
                <c:pt idx="26">
                  <c:v>0.43323182448477754</c:v>
                </c:pt>
                <c:pt idx="27">
                  <c:v>0.47228190096654271</c:v>
                </c:pt>
                <c:pt idx="28">
                  <c:v>0.51305777603396496</c:v>
                </c:pt>
                <c:pt idx="29">
                  <c:v>0.55556073908603731</c:v>
                </c:pt>
                <c:pt idx="30">
                  <c:v>0.59979207380793087</c:v>
                </c:pt>
                <c:pt idx="31">
                  <c:v>0.64575305814910544</c:v>
                </c:pt>
                <c:pt idx="32">
                  <c:v>0.69344496430148839</c:v>
                </c:pt>
                <c:pt idx="33">
                  <c:v>0.74286905867772235</c:v>
                </c:pt>
                <c:pt idx="34">
                  <c:v>0.79402660188948371</c:v>
                </c:pt>
                <c:pt idx="35">
                  <c:v>0.8469188487258712</c:v>
                </c:pt>
                <c:pt idx="36">
                  <c:v>0.90154704813186692</c:v>
                </c:pt>
                <c:pt idx="37">
                  <c:v>0.95791244318686963</c:v>
                </c:pt>
                <c:pt idx="38">
                  <c:v>1.0160162710833014</c:v>
                </c:pt>
                <c:pt idx="39">
                  <c:v>1.0758597631052891</c:v>
                </c:pt>
                <c:pt idx="40">
                  <c:v>1.1375668263422012</c:v>
                </c:pt>
                <c:pt idx="41">
                  <c:v>1.201265201035723</c:v>
                </c:pt>
                <c:pt idx="42">
                  <c:v>1.2669637546883101</c:v>
                </c:pt>
                <c:pt idx="43">
                  <c:v>1.3346712415320285</c:v>
                </c:pt>
                <c:pt idx="44">
                  <c:v>1.4043962474573402</c:v>
                </c:pt>
                <c:pt idx="45">
                  <c:v>1.4761471976216929</c:v>
                </c:pt>
                <c:pt idx="46">
                  <c:v>1.5499326787954384</c:v>
                </c:pt>
                <c:pt idx="47">
                  <c:v>1.6257615275377773</c:v>
                </c:pt>
                <c:pt idx="48">
                  <c:v>1.7036425240512161</c:v>
                </c:pt>
                <c:pt idx="49">
                  <c:v>1.7835843192078877</c:v>
                </c:pt>
                <c:pt idx="50">
                  <c:v>1.8655954397100327</c:v>
                </c:pt>
                <c:pt idx="51">
                  <c:v>1.9496842929255582</c:v>
                </c:pt>
                <c:pt idx="52">
                  <c:v>2.0358591714253347</c:v>
                </c:pt>
                <c:pt idx="53">
                  <c:v>2.1241282572461957</c:v>
                </c:pt>
                <c:pt idx="54">
                  <c:v>2.2144996259012402</c:v>
                </c:pt>
                <c:pt idx="55">
                  <c:v>2.3069812501569378</c:v>
                </c:pt>
                <c:pt idx="56">
                  <c:v>2.4015810035946887</c:v>
                </c:pt>
                <c:pt idx="57">
                  <c:v>2.4983066639728402</c:v>
                </c:pt>
                <c:pt idx="58">
                  <c:v>2.5971659164037026</c:v>
                </c:pt>
                <c:pt idx="59">
                  <c:v>2.6981663563587954</c:v>
                </c:pt>
                <c:pt idx="60">
                  <c:v>2.8013154925143899</c:v>
                </c:pt>
                <c:pt idx="61">
                  <c:v>2.9066207494483756</c:v>
                </c:pt>
                <c:pt idx="62">
                  <c:v>3.0140894701985257</c:v>
                </c:pt>
                <c:pt idx="63">
                  <c:v>3.1237289186914059</c:v>
                </c:pt>
                <c:pt idx="64">
                  <c:v>3.2355462820504073</c:v>
                </c:pt>
                <c:pt idx="65">
                  <c:v>3.3495486727906938</c:v>
                </c:pt>
                <c:pt idx="66">
                  <c:v>3.4657431309082396</c:v>
                </c:pt>
                <c:pt idx="67">
                  <c:v>3.5841366258695686</c:v>
                </c:pt>
                <c:pt idx="68">
                  <c:v>3.704736058508296</c:v>
                </c:pt>
                <c:pt idx="69">
                  <c:v>3.8275534704506349</c:v>
                </c:pt>
                <c:pt idx="70">
                  <c:v>3.9526083117432571</c:v>
                </c:pt>
                <c:pt idx="71">
                  <c:v>4.0799222744591308</c:v>
                </c:pt>
                <c:pt idx="72">
                  <c:v>4.2095170671093731</c:v>
                </c:pt>
                <c:pt idx="73">
                  <c:v>4.341414414512454</c:v>
                </c:pt>
                <c:pt idx="74">
                  <c:v>4.4756360576653886</c:v>
                </c:pt>
                <c:pt idx="75">
                  <c:v>4.6122037536167326</c:v>
                </c:pt>
                <c:pt idx="76">
                  <c:v>4.7511392753411856</c:v>
                </c:pt>
                <c:pt idx="77">
                  <c:v>4.8924546484056695</c:v>
                </c:pt>
                <c:pt idx="78">
                  <c:v>5.0361479081387284</c:v>
                </c:pt>
                <c:pt idx="79">
                  <c:v>5.1822127947459027</c:v>
                </c:pt>
                <c:pt idx="80">
                  <c:v>5.3306429293375519</c:v>
                </c:pt>
                <c:pt idx="81">
                  <c:v>5.4814318165783256</c:v>
                </c:pt>
                <c:pt idx="82">
                  <c:v>5.6345728472253356</c:v>
                </c:pt>
                <c:pt idx="83">
                  <c:v>5.7900593005617926</c:v>
                </c:pt>
                <c:pt idx="84">
                  <c:v>5.9478843467323781</c:v>
                </c:pt>
                <c:pt idx="85">
                  <c:v>6.1080410489861459</c:v>
                </c:pt>
                <c:pt idx="86">
                  <c:v>6.2705237122465123</c:v>
                </c:pt>
                <c:pt idx="87">
                  <c:v>6.4353332883934717</c:v>
                </c:pt>
                <c:pt idx="88">
                  <c:v>6.6024760612384696</c:v>
                </c:pt>
                <c:pt idx="89">
                  <c:v>6.7719582740490587</c:v>
                </c:pt>
                <c:pt idx="90">
                  <c:v>6.943786130258097</c:v>
                </c:pt>
                <c:pt idx="91">
                  <c:v>7.1179657941477554</c:v>
                </c:pt>
                <c:pt idx="92">
                  <c:v>7.2945033915094353</c:v>
                </c:pt>
                <c:pt idx="93">
                  <c:v>7.473405010280656</c:v>
                </c:pt>
                <c:pt idx="94">
                  <c:v>7.6546767011599073</c:v>
                </c:pt>
                <c:pt idx="95">
                  <c:v>7.8383244782004038</c:v>
                </c:pt>
                <c:pt idx="96">
                  <c:v>8.0243543193836349</c:v>
                </c:pt>
                <c:pt idx="97">
                  <c:v>8.2127721671735632</c:v>
                </c:pt>
                <c:pt idx="98">
                  <c:v>8.4035839290522656</c:v>
                </c:pt>
                <c:pt idx="99">
                  <c:v>8.5967954780377749</c:v>
                </c:pt>
                <c:pt idx="100">
                  <c:v>8.7924126531848632</c:v>
                </c:pt>
                <c:pt idx="101">
                  <c:v>8.9904412600694315</c:v>
                </c:pt>
                <c:pt idx="102">
                  <c:v>9.1908870712571744</c:v>
                </c:pt>
                <c:pt idx="103">
                  <c:v>9.3937558267571344</c:v>
                </c:pt>
                <c:pt idx="104">
                  <c:v>9.5990532344607331</c:v>
                </c:pt>
                <c:pt idx="105">
                  <c:v>9.8067849705668539</c:v>
                </c:pt>
                <c:pt idx="106">
                  <c:v>10.016956679993497</c:v>
                </c:pt>
                <c:pt idx="107">
                  <c:v>10.229573976776527</c:v>
                </c:pt>
                <c:pt idx="108">
                  <c:v>10.444642444456001</c:v>
                </c:pt>
                <c:pt idx="109">
                  <c:v>10.662167636450533</c:v>
                </c:pt>
                <c:pt idx="110">
                  <c:v>10.882155076420146</c:v>
                </c:pt>
                <c:pt idx="111">
                  <c:v>11.104610258618022</c:v>
                </c:pt>
                <c:pt idx="112">
                  <c:v>11.329538648231583</c:v>
                </c:pt>
                <c:pt idx="113">
                  <c:v>11.55694568171325</c:v>
                </c:pt>
                <c:pt idx="114">
                  <c:v>11.786836767101279</c:v>
                </c:pt>
                <c:pt idx="115">
                  <c:v>12.019217284331013</c:v>
                </c:pt>
                <c:pt idx="116">
                  <c:v>12.254092585536892</c:v>
                </c:pt>
                <c:pt idx="117">
                  <c:v>12.491467995345543</c:v>
                </c:pt>
                <c:pt idx="118">
                  <c:v>12.731348811160263</c:v>
                </c:pt>
                <c:pt idx="119">
                  <c:v>12.973740303437182</c:v>
                </c:pt>
                <c:pt idx="120">
                  <c:v>13.218647715953409</c:v>
                </c:pt>
                <c:pt idx="121">
                  <c:v>13.466076266067402</c:v>
                </c:pt>
                <c:pt idx="122">
                  <c:v>13.716031144971859</c:v>
                </c:pt>
                <c:pt idx="123">
                  <c:v>13.968517517939359</c:v>
                </c:pt>
                <c:pt idx="124">
                  <c:v>14.223540524560992</c:v>
                </c:pt>
                <c:pt idx="125">
                  <c:v>14.481105278978225</c:v>
                </c:pt>
                <c:pt idx="126">
                  <c:v>14.741216870108209</c:v>
                </c:pt>
                <c:pt idx="127">
                  <c:v>15.003880361862745</c:v>
                </c:pt>
                <c:pt idx="128">
                  <c:v>15.269100793361119</c:v>
                </c:pt>
                <c:pt idx="129">
                  <c:v>15.536883179137005</c:v>
                </c:pt>
                <c:pt idx="130">
                  <c:v>15.807232509339608</c:v>
                </c:pt>
                <c:pt idx="131">
                  <c:v>16.080153749929242</c:v>
                </c:pt>
                <c:pt idx="132">
                  <c:v>16.355651842867527</c:v>
                </c:pt>
                <c:pt idx="133">
                  <c:v>16.633731706302353</c:v>
                </c:pt>
                <c:pt idx="134">
                  <c:v>16.914398234747786</c:v>
                </c:pt>
                <c:pt idx="135">
                  <c:v>17.197656299259062</c:v>
                </c:pt>
                <c:pt idx="136">
                  <c:v>17.483510747602853</c:v>
                </c:pt>
                <c:pt idx="137">
                  <c:v>17.771966404422887</c:v>
                </c:pt>
                <c:pt idx="138">
                  <c:v>18.063028071401131</c:v>
                </c:pt>
                <c:pt idx="139">
                  <c:v>18.356700527414628</c:v>
                </c:pt>
                <c:pt idx="140">
                  <c:v>18.652988528688127</c:v>
                </c:pt>
                <c:pt idx="141">
                  <c:v>18.951896808942635</c:v>
                </c:pt>
                <c:pt idx="142">
                  <c:v>19.253430079540028</c:v>
                </c:pt>
                <c:pt idx="143">
                  <c:v>19.557593029623799</c:v>
                </c:pt>
                <c:pt idx="144">
                  <c:v>19.8643903262561</c:v>
                </c:pt>
                <c:pt idx="145">
                  <c:v>20.173826614551146</c:v>
                </c:pt>
                <c:pt idx="146">
                  <c:v>20.48590651780513</c:v>
                </c:pt>
                <c:pt idx="147">
                  <c:v>20.800634637622704</c:v>
                </c:pt>
                <c:pt idx="148">
                  <c:v>21.11801555404017</c:v>
                </c:pt>
                <c:pt idx="149">
                  <c:v>21.43805382564544</c:v>
                </c:pt>
                <c:pt idx="150">
                  <c:v>21.760753989694877</c:v>
                </c:pt>
                <c:pt idx="151">
                  <c:v>22.086120562227087</c:v>
                </c:pt>
                <c:pt idx="152">
                  <c:v>22.414158038173795</c:v>
                </c:pt>
                <c:pt idx="153">
                  <c:v>22.744870891467823</c:v>
                </c:pt>
                <c:pt idx="154">
                  <c:v>23.078263575148288</c:v>
                </c:pt>
                <c:pt idx="155">
                  <c:v>23.414340521463107</c:v>
                </c:pt>
                <c:pt idx="156">
                  <c:v>23.753106141968864</c:v>
                </c:pt>
                <c:pt idx="157">
                  <c:v>24.094564827628115</c:v>
                </c:pt>
                <c:pt idx="158">
                  <c:v>24.438720948904212</c:v>
                </c:pt>
                <c:pt idx="159">
                  <c:v>24.785578855853704</c:v>
                </c:pt>
                <c:pt idx="160">
                  <c:v>25.135142878216389</c:v>
                </c:pt>
                <c:pt idx="161">
                  <c:v>25.487417325503081</c:v>
                </c:pt>
                <c:pt idx="162">
                  <c:v>25.842406487081163</c:v>
                </c:pt>
                <c:pt idx="163">
                  <c:v>26.200114632257954</c:v>
                </c:pt>
                <c:pt idx="164">
                  <c:v>26.560546010361993</c:v>
                </c:pt>
                <c:pt idx="165">
                  <c:v>26.923704850822268</c:v>
                </c:pt>
                <c:pt idx="166">
                  <c:v>27.289595363245464</c:v>
                </c:pt>
                <c:pt idx="167">
                  <c:v>27.658221737491253</c:v>
                </c:pt>
                <c:pt idx="168">
                  <c:v>28.02958814374573</c:v>
                </c:pt>
                <c:pt idx="169">
                  <c:v>28.403698732592993</c:v>
                </c:pt>
                <c:pt idx="170">
                  <c:v>28.780557635084946</c:v>
                </c:pt>
                <c:pt idx="171">
                  <c:v>29.160168962809376</c:v>
                </c:pt>
                <c:pt idx="172">
                  <c:v>29.542536807956328</c:v>
                </c:pt>
                <c:pt idx="173">
                  <c:v>29.92766524338284</c:v>
                </c:pt>
                <c:pt idx="174">
                  <c:v>30.315558322676097</c:v>
                </c:pt>
                <c:pt idx="175">
                  <c:v>30.70622008021499</c:v>
                </c:pt>
                <c:pt idx="176">
                  <c:v>31.099654531230208</c:v>
                </c:pt>
                <c:pt idx="177">
                  <c:v>31.495865671862816</c:v>
                </c:pt>
                <c:pt idx="178">
                  <c:v>31.894857479221429</c:v>
                </c:pt>
                <c:pt idx="179">
                  <c:v>32.296633911437972</c:v>
                </c:pt>
                <c:pt idx="180">
                  <c:v>32.701198907722087</c:v>
                </c:pt>
                <c:pt idx="181">
                  <c:v>33.108556388414222</c:v>
                </c:pt>
                <c:pt idx="182">
                  <c:v>33.518710255037426</c:v>
                </c:pt>
                <c:pt idx="183">
                  <c:v>33.931664390347912</c:v>
                </c:pt>
                <c:pt idx="184">
                  <c:v>34.34742265838436</c:v>
                </c:pt>
                <c:pt idx="185">
                  <c:v>34.765988904516092</c:v>
                </c:pt>
                <c:pt idx="186">
                  <c:v>35.187366955490049</c:v>
                </c:pt>
                <c:pt idx="187">
                  <c:v>35.611560619476656</c:v>
                </c:pt>
                <c:pt idx="188">
                  <c:v>36.03857368611461</c:v>
                </c:pt>
                <c:pt idx="189">
                  <c:v>36.468409926554592</c:v>
                </c:pt>
                <c:pt idx="190">
                  <c:v>36.901073093501957</c:v>
                </c:pt>
                <c:pt idx="191">
                  <c:v>37.336566921258381</c:v>
                </c:pt>
                <c:pt idx="192">
                  <c:v>37.774895125762605</c:v>
                </c:pt>
                <c:pt idx="193">
                  <c:v>38.216061404630146</c:v>
                </c:pt>
                <c:pt idx="194">
                  <c:v>38.660069437192135</c:v>
                </c:pt>
                <c:pt idx="195">
                  <c:v>39.106922884533226</c:v>
                </c:pt>
                <c:pt idx="196">
                  <c:v>39.556625389528669</c:v>
                </c:pt>
                <c:pt idx="197">
                  <c:v>40.009180576880489</c:v>
                </c:pt>
                <c:pt idx="198">
                  <c:v>40.464592053152842</c:v>
                </c:pt>
                <c:pt idx="199">
                  <c:v>40.922863406806606</c:v>
                </c:pt>
                <c:pt idx="200">
                  <c:v>41.383998208233145</c:v>
                </c:pt>
                <c:pt idx="201">
                  <c:v>41.848000009787349</c:v>
                </c:pt>
                <c:pt idx="202">
                  <c:v>42.314872345819907</c:v>
                </c:pt>
                <c:pt idx="203">
                  <c:v>42.784618732708878</c:v>
                </c:pt>
                <c:pt idx="204">
                  <c:v>43.257242668890569</c:v>
                </c:pt>
                <c:pt idx="205">
                  <c:v>43.732747634889712</c:v>
                </c:pt>
                <c:pt idx="206">
                  <c:v>44.211137093349031</c:v>
                </c:pt>
                <c:pt idx="207">
                  <c:v>44.692414489058109</c:v>
                </c:pt>
                <c:pt idx="208">
                  <c:v>45.1765832489817</c:v>
                </c:pt>
                <c:pt idx="209">
                  <c:v>45.66364678228738</c:v>
                </c:pt>
                <c:pt idx="210">
                  <c:v>46.153608480372661</c:v>
                </c:pt>
                <c:pt idx="211">
                  <c:v>46.646471716891519</c:v>
                </c:pt>
                <c:pt idx="212">
                  <c:v>47.142239847780367</c:v>
                </c:pt>
                <c:pt idx="213">
                  <c:v>47.640916211283518</c:v>
                </c:pt>
                <c:pt idx="214">
                  <c:v>48.1425041279781</c:v>
                </c:pt>
                <c:pt idx="215">
                  <c:v>48.647006900798509</c:v>
                </c:pt>
                <c:pt idx="216">
                  <c:v>49.154427815060352</c:v>
                </c:pt>
                <c:pt idx="217">
                  <c:v>49.664770138483917</c:v>
                </c:pt>
                <c:pt idx="218">
                  <c:v>50.178037121217223</c:v>
                </c:pt>
                <c:pt idx="219">
                  <c:v>50.69423199585858</c:v>
                </c:pt>
                <c:pt idx="220">
                  <c:v>51.213357977478772</c:v>
                </c:pt>
                <c:pt idx="221">
                  <c:v>51.735418263642813</c:v>
                </c:pt>
                <c:pt idx="222">
                  <c:v>52.26041603443128</c:v>
                </c:pt>
                <c:pt idx="223">
                  <c:v>52.788354452461299</c:v>
                </c:pt>
                <c:pt idx="224">
                  <c:v>53.319236662907151</c:v>
                </c:pt>
                <c:pt idx="225">
                  <c:v>53.853065793520493</c:v>
                </c:pt>
                <c:pt idx="226">
                  <c:v>54.389844954650286</c:v>
                </c:pt>
                <c:pt idx="227">
                  <c:v>54.929577239262329</c:v>
                </c:pt>
                <c:pt idx="228">
                  <c:v>55.472265722958525</c:v>
                </c:pt>
                <c:pt idx="229">
                  <c:v>56.017913463995811</c:v>
                </c:pt>
                <c:pt idx="230">
                  <c:v>56.566523503304794</c:v>
                </c:pt>
                <c:pt idx="231">
                  <c:v>57.118098864508092</c:v>
                </c:pt>
                <c:pt idx="232">
                  <c:v>57.672642553938445</c:v>
                </c:pt>
                <c:pt idx="233">
                  <c:v>58.230157560656494</c:v>
                </c:pt>
                <c:pt idx="234">
                  <c:v>58.790646856468364</c:v>
                </c:pt>
                <c:pt idx="235">
                  <c:v>59.354113395942974</c:v>
                </c:pt>
                <c:pt idx="236">
                  <c:v>59.920560116429129</c:v>
                </c:pt>
                <c:pt idx="237">
                  <c:v>60.489989938072377</c:v>
                </c:pt>
                <c:pt idx="238">
                  <c:v>61.062405763831663</c:v>
                </c:pt>
                <c:pt idx="239">
                  <c:v>61.637810479495791</c:v>
                </c:pt>
                <c:pt idx="240">
                  <c:v>62.216206953699668</c:v>
                </c:pt>
                <c:pt idx="241">
                  <c:v>62.797598037940382</c:v>
                </c:pt>
                <c:pt idx="242">
                  <c:v>63.381986566593099</c:v>
                </c:pt>
                <c:pt idx="243">
                  <c:v>63.969375356926797</c:v>
                </c:pt>
                <c:pt idx="244">
                  <c:v>64.559773662734784</c:v>
                </c:pt>
                <c:pt idx="245">
                  <c:v>65.153197184769766</c:v>
                </c:pt>
                <c:pt idx="246">
                  <c:v>65.749661627470488</c:v>
                </c:pt>
                <c:pt idx="247">
                  <c:v>66.349182698790116</c:v>
                </c:pt>
                <c:pt idx="248">
                  <c:v>66.951776110024085</c:v>
                </c:pt>
                <c:pt idx="249">
                  <c:v>67.557457575637414</c:v>
                </c:pt>
                <c:pt idx="250">
                  <c:v>68.166242813091557</c:v>
                </c:pt>
                <c:pt idx="251">
                  <c:v>68.778147542670695</c:v>
                </c:pt>
                <c:pt idx="252">
                  <c:v>69.393187487307586</c:v>
                </c:pt>
                <c:pt idx="253">
                  <c:v>70.011374783929639</c:v>
                </c:pt>
                <c:pt idx="254">
                  <c:v>70.632714384993221</c:v>
                </c:pt>
                <c:pt idx="255">
                  <c:v>71.257207635395247</c:v>
                </c:pt>
                <c:pt idx="256">
                  <c:v>71.884855859307777</c:v>
                </c:pt>
                <c:pt idx="257">
                  <c:v>72.515660360225894</c:v>
                </c:pt>
                <c:pt idx="258">
                  <c:v>73.149622421015408</c:v>
                </c:pt>
                <c:pt idx="259">
                  <c:v>73.78674330396035</c:v>
                </c:pt>
                <c:pt idx="260">
                  <c:v>74.427024250810362</c:v>
                </c:pt>
                <c:pt idx="261">
                  <c:v>75.070466482827896</c:v>
                </c:pt>
                <c:pt idx="262">
                  <c:v>75.717071200835335</c:v>
                </c:pt>
                <c:pt idx="263">
                  <c:v>76.366839585261914</c:v>
                </c:pt>
                <c:pt idx="264">
                  <c:v>77.01977279619058</c:v>
                </c:pt>
                <c:pt idx="265">
                  <c:v>77.675871973404725</c:v>
                </c:pt>
                <c:pt idx="266">
                  <c:v>78.33513823643483</c:v>
                </c:pt>
                <c:pt idx="267">
                  <c:v>78.997572684604975</c:v>
                </c:pt>
                <c:pt idx="268">
                  <c:v>79.663176397079326</c:v>
                </c:pt>
                <c:pt idx="269">
                  <c:v>80.331950432908528</c:v>
                </c:pt>
                <c:pt idx="270">
                  <c:v>81.00389583107598</c:v>
                </c:pt>
                <c:pt idx="271">
                  <c:v>81.679013610544118</c:v>
                </c:pt>
                <c:pt idx="272">
                  <c:v>82.35730477030063</c:v>
                </c:pt>
                <c:pt idx="273">
                  <c:v>83.038770289404596</c:v>
                </c:pt>
                <c:pt idx="274">
                  <c:v>83.723411127032591</c:v>
                </c:pt>
                <c:pt idx="275">
                  <c:v>84.411228222524826</c:v>
                </c:pt>
                <c:pt idx="276">
                  <c:v>85.102222495431178</c:v>
                </c:pt>
                <c:pt idx="277">
                  <c:v>85.796394668512548</c:v>
                </c:pt>
                <c:pt idx="278">
                  <c:v>86.493745001686491</c:v>
                </c:pt>
                <c:pt idx="279">
                  <c:v>87.194273468519839</c:v>
                </c:pt>
                <c:pt idx="280">
                  <c:v>87.897980021786822</c:v>
                </c:pt>
                <c:pt idx="281">
                  <c:v>88.604864593535083</c:v>
                </c:pt>
                <c:pt idx="282">
                  <c:v>89.314927095151489</c:v>
                </c:pt>
                <c:pt idx="283">
                  <c:v>90.028167417428023</c:v>
                </c:pt>
                <c:pt idx="284">
                  <c:v>90.744585430627595</c:v>
                </c:pt>
                <c:pt idx="285">
                  <c:v>91.46418098454987</c:v>
                </c:pt>
                <c:pt idx="286">
                  <c:v>92.186953908597033</c:v>
                </c:pt>
                <c:pt idx="287">
                  <c:v>92.912904011839544</c:v>
                </c:pt>
                <c:pt idx="288">
                  <c:v>93.64203108308196</c:v>
                </c:pt>
                <c:pt idx="289">
                  <c:v>94.374334890928665</c:v>
                </c:pt>
                <c:pt idx="290">
                  <c:v>95.109815183849662</c:v>
                </c:pt>
                <c:pt idx="291">
                  <c:v>95.848471690246342</c:v>
                </c:pt>
                <c:pt idx="292">
                  <c:v>96.590304118517309</c:v>
                </c:pt>
                <c:pt idx="293">
                  <c:v>97.335312157124179</c:v>
                </c:pt>
                <c:pt idx="294">
                  <c:v>98.083495474657425</c:v>
                </c:pt>
                <c:pt idx="295">
                  <c:v>98.834853719902256</c:v>
                </c:pt>
                <c:pt idx="296">
                  <c:v>99.589386521904501</c:v>
                </c:pt>
                <c:pt idx="297">
                  <c:v>100.34709349003657</c:v>
                </c:pt>
                <c:pt idx="298">
                  <c:v>101.1079742140634</c:v>
                </c:pt>
                <c:pt idx="299">
                  <c:v>101.87202826420855</c:v>
                </c:pt>
                <c:pt idx="300">
                  <c:v>102.63925519122017</c:v>
                </c:pt>
                <c:pt idx="301">
                  <c:v>103.40965452643721</c:v>
                </c:pt>
                <c:pt idx="302">
                  <c:v>104.18322578185555</c:v>
                </c:pt>
                <c:pt idx="303">
                  <c:v>104.95996845019427</c:v>
                </c:pt>
                <c:pt idx="304">
                  <c:v>105.7398820049619</c:v>
                </c:pt>
                <c:pt idx="305">
                  <c:v>106.52296590052283</c:v>
                </c:pt>
                <c:pt idx="306">
                  <c:v>107.30921957216373</c:v>
                </c:pt>
                <c:pt idx="307">
                  <c:v>108.09864243616001</c:v>
                </c:pt>
                <c:pt idx="308">
                  <c:v>108.89123388984244</c:v>
                </c:pt>
                <c:pt idx="309">
                  <c:v>109.68699331166381</c:v>
                </c:pt>
                <c:pt idx="310">
                  <c:v>110.4859200612656</c:v>
                </c:pt>
                <c:pt idx="311">
                  <c:v>111.28801347954483</c:v>
                </c:pt>
                <c:pt idx="312">
                  <c:v>112.09327288872095</c:v>
                </c:pt>
                <c:pt idx="313">
                  <c:v>112.9016975924028</c:v>
                </c:pt>
                <c:pt idx="314">
                  <c:v>113.71328687565573</c:v>
                </c:pt>
                <c:pt idx="315">
                  <c:v>114.52804000506868</c:v>
                </c:pt>
                <c:pt idx="316">
                  <c:v>115.34595622882148</c:v>
                </c:pt>
                <c:pt idx="317">
                  <c:v>116.1670347767522</c:v>
                </c:pt>
                <c:pt idx="318">
                  <c:v>116.99127486042457</c:v>
                </c:pt>
                <c:pt idx="319">
                  <c:v>117.81867567319549</c:v>
                </c:pt>
                <c:pt idx="320">
                  <c:v>118.64923639028271</c:v>
                </c:pt>
                <c:pt idx="321">
                  <c:v>119.48295616883257</c:v>
                </c:pt>
                <c:pt idx="322">
                  <c:v>120.31983414798781</c:v>
                </c:pt>
                <c:pt idx="323">
                  <c:v>121.15986944895552</c:v>
                </c:pt>
                <c:pt idx="324">
                  <c:v>122.00306117507523</c:v>
                </c:pt>
                <c:pt idx="325">
                  <c:v>122.849408411887</c:v>
                </c:pt>
                <c:pt idx="326">
                  <c:v>123.69891022719972</c:v>
                </c:pt>
                <c:pt idx="327">
                  <c:v>124.55156567115949</c:v>
                </c:pt>
                <c:pt idx="328">
                  <c:v>125.40737377631811</c:v>
                </c:pt>
                <c:pt idx="329">
                  <c:v>126.26633355770163</c:v>
                </c:pt>
                <c:pt idx="330">
                  <c:v>127.12844401287909</c:v>
                </c:pt>
                <c:pt idx="331">
                  <c:v>127.99370412203132</c:v>
                </c:pt>
                <c:pt idx="332">
                  <c:v>128.8621128480199</c:v>
                </c:pt>
                <c:pt idx="333">
                  <c:v>129.7336691364562</c:v>
                </c:pt>
                <c:pt idx="334">
                  <c:v>130.60837191577048</c:v>
                </c:pt>
                <c:pt idx="335">
                  <c:v>131.48622009728126</c:v>
                </c:pt>
                <c:pt idx="336">
                  <c:v>132.36721257526463</c:v>
                </c:pt>
                <c:pt idx="337">
                  <c:v>133.25134822702384</c:v>
                </c:pt>
                <c:pt idx="338">
                  <c:v>134.13862591295884</c:v>
                </c:pt>
                <c:pt idx="339">
                  <c:v>135.02904447663607</c:v>
                </c:pt>
                <c:pt idx="340">
                  <c:v>135.92260274485835</c:v>
                </c:pt>
                <c:pt idx="341">
                  <c:v>136.81929952773478</c:v>
                </c:pt>
                <c:pt idx="342">
                  <c:v>137.7191336187509</c:v>
                </c:pt>
                <c:pt idx="343">
                  <c:v>138.62210379483886</c:v>
                </c:pt>
                <c:pt idx="344">
                  <c:v>139.52820897052754</c:v>
                </c:pt>
                <c:pt idx="345">
                  <c:v>140.43744958628713</c:v>
                </c:pt>
                <c:pt idx="346">
                  <c:v>141.34982745572242</c:v>
                </c:pt>
                <c:pt idx="347">
                  <c:v>142.26534437854255</c:v>
                </c:pt>
                <c:pt idx="348">
                  <c:v>143.18400214057374</c:v>
                </c:pt>
                <c:pt idx="349">
                  <c:v>144.1058025137722</c:v>
                </c:pt>
                <c:pt idx="350">
                  <c:v>145.03074725623739</c:v>
                </c:pt>
                <c:pt idx="351">
                  <c:v>145.95883811222538</c:v>
                </c:pt>
                <c:pt idx="352">
                  <c:v>146.89007681216253</c:v>
                </c:pt>
                <c:pt idx="353">
                  <c:v>147.82446507265939</c:v>
                </c:pt>
                <c:pt idx="354">
                  <c:v>148.76200459652486</c:v>
                </c:pt>
                <c:pt idx="355">
                  <c:v>149.70269707278052</c:v>
                </c:pt>
                <c:pt idx="356">
                  <c:v>150.64654417667532</c:v>
                </c:pt>
                <c:pt idx="357">
                  <c:v>151.59354756970038</c:v>
                </c:pt>
                <c:pt idx="358">
                  <c:v>152.5437088996041</c:v>
                </c:pt>
                <c:pt idx="359">
                  <c:v>153.49702980040755</c:v>
                </c:pt>
                <c:pt idx="360">
                  <c:v>154.45351189242001</c:v>
                </c:pt>
                <c:pt idx="361">
                  <c:v>155.41315678225482</c:v>
                </c:pt>
                <c:pt idx="362">
                  <c:v>156.37596606284546</c:v>
                </c:pt>
                <c:pt idx="363">
                  <c:v>157.34194131346183</c:v>
                </c:pt>
                <c:pt idx="364">
                  <c:v>158.31108409972688</c:v>
                </c:pt>
                <c:pt idx="365">
                  <c:v>159.28339597363336</c:v>
                </c:pt>
                <c:pt idx="366">
                  <c:v>160.25887847356091</c:v>
                </c:pt>
                <c:pt idx="367">
                  <c:v>161.23753312429338</c:v>
                </c:pt>
                <c:pt idx="368">
                  <c:v>162.2193614370363</c:v>
                </c:pt>
                <c:pt idx="369">
                  <c:v>163.20436490943476</c:v>
                </c:pt>
                <c:pt idx="370">
                  <c:v>164.19254502559141</c:v>
                </c:pt>
                <c:pt idx="371">
                  <c:v>165.18390325608479</c:v>
                </c:pt>
                <c:pt idx="372">
                  <c:v>166.17844105798781</c:v>
                </c:pt>
                <c:pt idx="373">
                  <c:v>167.17615885336673</c:v>
                </c:pt>
                <c:pt idx="374">
                  <c:v>168.17705602868236</c:v>
                </c:pt>
                <c:pt idx="375">
                  <c:v>169.18113195572974</c:v>
                </c:pt>
                <c:pt idx="376">
                  <c:v>170.18838599169445</c:v>
                </c:pt>
                <c:pt idx="377">
                  <c:v>171.19881747920888</c:v>
                </c:pt>
                <c:pt idx="378">
                  <c:v>172.21242574640885</c:v>
                </c:pt>
                <c:pt idx="379">
                  <c:v>173.22921010699031</c:v>
                </c:pt>
                <c:pt idx="380">
                  <c:v>174.24916986026628</c:v>
                </c:pt>
                <c:pt idx="381">
                  <c:v>175.27230429122395</c:v>
                </c:pt>
                <c:pt idx="382">
                  <c:v>176.29861267058192</c:v>
                </c:pt>
                <c:pt idx="383">
                  <c:v>177.32809425484766</c:v>
                </c:pt>
                <c:pt idx="384">
                  <c:v>178.36074828637501</c:v>
                </c:pt>
                <c:pt idx="385">
                  <c:v>179.39657399342215</c:v>
                </c:pt>
                <c:pt idx="386">
                  <c:v>180.43557059020935</c:v>
                </c:pt>
                <c:pt idx="387">
                  <c:v>181.47773727697719</c:v>
                </c:pt>
                <c:pt idx="388">
                  <c:v>182.52307324004482</c:v>
                </c:pt>
                <c:pt idx="389">
                  <c:v>183.57157765186844</c:v>
                </c:pt>
                <c:pt idx="390">
                  <c:v>184.62324967109984</c:v>
                </c:pt>
                <c:pt idx="391">
                  <c:v>185.67808844264525</c:v>
                </c:pt>
                <c:pt idx="392">
                  <c:v>186.73609309772425</c:v>
                </c:pt>
                <c:pt idx="393">
                  <c:v>187.79726275392892</c:v>
                </c:pt>
                <c:pt idx="394">
                  <c:v>188.86159651528303</c:v>
                </c:pt>
                <c:pt idx="395">
                  <c:v>189.92909347230153</c:v>
                </c:pt>
                <c:pt idx="396">
                  <c:v>190.99975270205016</c:v>
                </c:pt>
                <c:pt idx="397">
                  <c:v>192.07357326820508</c:v>
                </c:pt>
                <c:pt idx="398">
                  <c:v>193.15055422111294</c:v>
                </c:pt>
                <c:pt idx="399">
                  <c:v>194.23069459785077</c:v>
                </c:pt>
                <c:pt idx="400">
                  <c:v>195.3139934222863</c:v>
                </c:pt>
                <c:pt idx="401">
                  <c:v>196.40044970513833</c:v>
                </c:pt>
                <c:pt idx="402">
                  <c:v>197.49006244403716</c:v>
                </c:pt>
                <c:pt idx="403">
                  <c:v>198.58283062358538</c:v>
                </c:pt>
                <c:pt idx="404">
                  <c:v>199.67875321541857</c:v>
                </c:pt>
                <c:pt idx="405">
                  <c:v>200.77782917826633</c:v>
                </c:pt>
                <c:pt idx="406">
                  <c:v>201.8800574580134</c:v>
                </c:pt>
                <c:pt idx="407">
                  <c:v>202.98543698776086</c:v>
                </c:pt>
                <c:pt idx="408">
                  <c:v>204.09396668788759</c:v>
                </c:pt>
                <c:pt idx="409">
                  <c:v>205.20564429560571</c:v>
                </c:pt>
                <c:pt idx="410">
                  <c:v>206.32046607168783</c:v>
                </c:pt>
                <c:pt idx="411">
                  <c:v>207.43842797055339</c:v>
                </c:pt>
                <c:pt idx="412">
                  <c:v>208.55952593321166</c:v>
                </c:pt>
                <c:pt idx="413">
                  <c:v>209.68375588738078</c:v>
                </c:pt>
                <c:pt idx="414">
                  <c:v>210.81111374760656</c:v>
                </c:pt>
                <c:pt idx="415">
                  <c:v>211.9415954153813</c:v>
                </c:pt>
                <c:pt idx="416">
                  <c:v>213.07519677926237</c:v>
                </c:pt>
                <c:pt idx="417">
                  <c:v>214.21191371499089</c:v>
                </c:pt>
                <c:pt idx="418">
                  <c:v>215.35174208561008</c:v>
                </c:pt>
                <c:pt idx="419">
                  <c:v>216.49467774158373</c:v>
                </c:pt>
                <c:pt idx="420">
                  <c:v>217.6407165209144</c:v>
                </c:pt>
                <c:pt idx="421">
                  <c:v>218.78985424926157</c:v>
                </c:pt>
                <c:pt idx="422">
                  <c:v>219.94208674005969</c:v>
                </c:pt>
                <c:pt idx="423">
                  <c:v>221.09740979463615</c:v>
                </c:pt>
                <c:pt idx="424">
                  <c:v>222.25581920232895</c:v>
                </c:pt>
                <c:pt idx="425">
                  <c:v>223.41731074060451</c:v>
                </c:pt>
                <c:pt idx="426">
                  <c:v>224.58188017517512</c:v>
                </c:pt>
                <c:pt idx="427">
                  <c:v>225.7495232601164</c:v>
                </c:pt>
                <c:pt idx="428">
                  <c:v>226.92023573798465</c:v>
                </c:pt>
                <c:pt idx="429">
                  <c:v>228.09401333993384</c:v>
                </c:pt>
                <c:pt idx="430">
                  <c:v>229.27085178583278</c:v>
                </c:pt>
                <c:pt idx="431">
                  <c:v>230.45074678438189</c:v>
                </c:pt>
                <c:pt idx="432">
                  <c:v>231.63369403323</c:v>
                </c:pt>
                <c:pt idx="433">
                  <c:v>232.8196892190908</c:v>
                </c:pt>
                <c:pt idx="434">
                  <c:v>234.0087280178594</c:v>
                </c:pt>
                <c:pt idx="435">
                  <c:v>235.20080609472851</c:v>
                </c:pt>
                <c:pt idx="436">
                  <c:v>236.39591910430451</c:v>
                </c:pt>
                <c:pt idx="437">
                  <c:v>237.59406269072352</c:v>
                </c:pt>
                <c:pt idx="438">
                  <c:v>238.79523248776704</c:v>
                </c:pt>
                <c:pt idx="439">
                  <c:v>239.99942411897763</c:v>
                </c:pt>
                <c:pt idx="440">
                  <c:v>241.20663319777435</c:v>
                </c:pt>
                <c:pt idx="441">
                  <c:v>242.41685532756799</c:v>
                </c:pt>
                <c:pt idx="442">
                  <c:v>243.63008610187617</c:v>
                </c:pt>
                <c:pt idx="443">
                  <c:v>244.8463211044382</c:v>
                </c:pt>
                <c:pt idx="444">
                  <c:v>246.0655559093299</c:v>
                </c:pt>
                <c:pt idx="445">
                  <c:v>247.28778608107797</c:v>
                </c:pt>
                <c:pt idx="446">
                  <c:v>248.51300717477446</c:v>
                </c:pt>
                <c:pt idx="447">
                  <c:v>249.74121473619087</c:v>
                </c:pt>
                <c:pt idx="448">
                  <c:v>250.97240430189206</c:v>
                </c:pt>
                <c:pt idx="449">
                  <c:v>252.20657139935003</c:v>
                </c:pt>
                <c:pt idx="450">
                  <c:v>253.44371154705749</c:v>
                </c:pt>
                <c:pt idx="451">
                  <c:v>254.68382025464109</c:v>
                </c:pt>
                <c:pt idx="452">
                  <c:v>255.9268930229747</c:v>
                </c:pt>
                <c:pt idx="453">
                  <c:v>257.17292534429214</c:v>
                </c:pt>
                <c:pt idx="454">
                  <c:v>258.42191270230001</c:v>
                </c:pt>
                <c:pt idx="455">
                  <c:v>259.67385057229006</c:v>
                </c:pt>
                <c:pt idx="456">
                  <c:v>260.92873442125165</c:v>
                </c:pt>
                <c:pt idx="457">
                  <c:v>262.18655970798346</c:v>
                </c:pt>
                <c:pt idx="458">
                  <c:v>263.44732188320557</c:v>
                </c:pt>
                <c:pt idx="459">
                  <c:v>264.71101638967087</c:v>
                </c:pt>
                <c:pt idx="460">
                  <c:v>265.97763866227649</c:v>
                </c:pt>
                <c:pt idx="461">
                  <c:v>267.24718412817481</c:v>
                </c:pt>
                <c:pt idx="462">
                  <c:v>268.51964820688437</c:v>
                </c:pt>
                <c:pt idx="463">
                  <c:v>269.79502631040049</c:v>
                </c:pt>
                <c:pt idx="464">
                  <c:v>271.07331384330558</c:v>
                </c:pt>
                <c:pt idx="465">
                  <c:v>272.35450620287941</c:v>
                </c:pt>
                <c:pt idx="466">
                  <c:v>273.63859877920873</c:v>
                </c:pt>
                <c:pt idx="467">
                  <c:v>274.92558695529709</c:v>
                </c:pt>
                <c:pt idx="468">
                  <c:v>276.21546610717417</c:v>
                </c:pt>
                <c:pt idx="469">
                  <c:v>277.50823160400472</c:v>
                </c:pt>
                <c:pt idx="470">
                  <c:v>278.80387880819762</c:v>
                </c:pt>
                <c:pt idx="471">
                  <c:v>280.1024030755143</c:v>
                </c:pt>
                <c:pt idx="472">
                  <c:v>281.40379975517709</c:v>
                </c:pt>
                <c:pt idx="473">
                  <c:v>282.70806418997716</c:v>
                </c:pt>
                <c:pt idx="474">
                  <c:v>284.01519171638245</c:v>
                </c:pt>
                <c:pt idx="475">
                  <c:v>285.32517766464491</c:v>
                </c:pt>
                <c:pt idx="476">
                  <c:v>286.63801735890792</c:v>
                </c:pt>
                <c:pt idx="477">
                  <c:v>287.95370611731306</c:v>
                </c:pt>
                <c:pt idx="478">
                  <c:v>289.27223925210683</c:v>
                </c:pt>
                <c:pt idx="479">
                  <c:v>290.59361206974688</c:v>
                </c:pt>
                <c:pt idx="480">
                  <c:v>291.91781987100819</c:v>
                </c:pt>
                <c:pt idx="481">
                  <c:v>293.24485795108882</c:v>
                </c:pt>
                <c:pt idx="482">
                  <c:v>294.57472159971519</c:v>
                </c:pt>
                <c:pt idx="483">
                  <c:v>295.90740610124749</c:v>
                </c:pt>
                <c:pt idx="484">
                  <c:v>297.24290673478436</c:v>
                </c:pt>
                <c:pt idx="485">
                  <c:v>298.5812187742676</c:v>
                </c:pt>
                <c:pt idx="486">
                  <c:v>299.92233748858632</c:v>
                </c:pt>
                <c:pt idx="487">
                  <c:v>301.26625814168096</c:v>
                </c:pt>
                <c:pt idx="488">
                  <c:v>302.61297599264685</c:v>
                </c:pt>
                <c:pt idx="489">
                  <c:v>303.96248629583761</c:v>
                </c:pt>
                <c:pt idx="490">
                  <c:v>305.31478430096814</c:v>
                </c:pt>
                <c:pt idx="491">
                  <c:v>306.66986525321732</c:v>
                </c:pt>
                <c:pt idx="492">
                  <c:v>308.0277243933304</c:v>
                </c:pt>
                <c:pt idx="493">
                  <c:v>309.38835695772099</c:v>
                </c:pt>
                <c:pt idx="494">
                  <c:v>310.75175817857286</c:v>
                </c:pt>
                <c:pt idx="495">
                  <c:v>312.11792328394131</c:v>
                </c:pt>
                <c:pt idx="496">
                  <c:v>313.48684749785428</c:v>
                </c:pt>
                <c:pt idx="497">
                  <c:v>314.85852565295676</c:v>
                </c:pt>
                <c:pt idx="498">
                  <c:v>316.23295180289512</c:v>
                </c:pt>
                <c:pt idx="499">
                  <c:v>317.61011961014782</c:v>
                </c:pt>
                <c:pt idx="500">
                  <c:v>318.99002273412873</c:v>
                </c:pt>
                <c:pt idx="501">
                  <c:v>320.3726548313133</c:v>
                </c:pt>
                <c:pt idx="502">
                  <c:v>321.75800955536403</c:v>
                </c:pt>
                <c:pt idx="503">
                  <c:v>323.14608055725535</c:v>
                </c:pt>
                <c:pt idx="504">
                  <c:v>324.53686148539811</c:v>
                </c:pt>
                <c:pt idx="505">
                  <c:v>325.93034598576349</c:v>
                </c:pt>
                <c:pt idx="506">
                  <c:v>327.32652770200633</c:v>
                </c:pt>
                <c:pt idx="507">
                  <c:v>328.72540027558779</c:v>
                </c:pt>
                <c:pt idx="508">
                  <c:v>330.12695734589761</c:v>
                </c:pt>
                <c:pt idx="509">
                  <c:v>331.53119255037575</c:v>
                </c:pt>
                <c:pt idx="510">
                  <c:v>332.93809952463346</c:v>
                </c:pt>
                <c:pt idx="511">
                  <c:v>334.34767190257384</c:v>
                </c:pt>
                <c:pt idx="512">
                  <c:v>335.75990331651184</c:v>
                </c:pt>
                <c:pt idx="513">
                  <c:v>337.17478739729347</c:v>
                </c:pt>
                <c:pt idx="514">
                  <c:v>338.59231777441482</c:v>
                </c:pt>
                <c:pt idx="515">
                  <c:v>340.01248807614019</c:v>
                </c:pt>
                <c:pt idx="516">
                  <c:v>341.43529192961984</c:v>
                </c:pt>
                <c:pt idx="517">
                  <c:v>342.86072296100696</c:v>
                </c:pt>
                <c:pt idx="518">
                  <c:v>344.28877479557428</c:v>
                </c:pt>
                <c:pt idx="519">
                  <c:v>345.71944105783007</c:v>
                </c:pt>
                <c:pt idx="520">
                  <c:v>347.15271537163335</c:v>
                </c:pt>
                <c:pt idx="521">
                  <c:v>348.58859136030878</c:v>
                </c:pt>
                <c:pt idx="522">
                  <c:v>350.02706264676084</c:v>
                </c:pt>
                <c:pt idx="523">
                  <c:v>351.46812285358737</c:v>
                </c:pt>
                <c:pt idx="524">
                  <c:v>352.91176560319269</c:v>
                </c:pt>
                <c:pt idx="525">
                  <c:v>354.35798451789992</c:v>
                </c:pt>
                <c:pt idx="526">
                  <c:v>355.80677322006289</c:v>
                </c:pt>
                <c:pt idx="527">
                  <c:v>357.25812533217737</c:v>
                </c:pt>
                <c:pt idx="528">
                  <c:v>358.71203447699168</c:v>
                </c:pt>
                <c:pt idx="529">
                  <c:v>360.16849427761679</c:v>
                </c:pt>
                <c:pt idx="530">
                  <c:v>361.62749835763583</c:v>
                </c:pt>
                <c:pt idx="531">
                  <c:v>363.08904034121286</c:v>
                </c:pt>
                <c:pt idx="532">
                  <c:v>364.55311385320113</c:v>
                </c:pt>
                <c:pt idx="533">
                  <c:v>366.01971251925079</c:v>
                </c:pt>
                <c:pt idx="534">
                  <c:v>367.48882996591595</c:v>
                </c:pt>
                <c:pt idx="535">
                  <c:v>368.96045982076112</c:v>
                </c:pt>
                <c:pt idx="536">
                  <c:v>370.43459571246706</c:v>
                </c:pt>
                <c:pt idx="537">
                  <c:v>371.91123127093607</c:v>
                </c:pt>
                <c:pt idx="538">
                  <c:v>373.3903601273966</c:v>
                </c:pt>
                <c:pt idx="539">
                  <c:v>374.87197591450723</c:v>
                </c:pt>
                <c:pt idx="540">
                  <c:v>376.35607226646022</c:v>
                </c:pt>
                <c:pt idx="541">
                  <c:v>377.84264281908418</c:v>
                </c:pt>
                <c:pt idx="542">
                  <c:v>379.33168120994645</c:v>
                </c:pt>
                <c:pt idx="543">
                  <c:v>380.82318107845452</c:v>
                </c:pt>
                <c:pt idx="544">
                  <c:v>382.31713606595719</c:v>
                </c:pt>
                <c:pt idx="545">
                  <c:v>383.81353981584482</c:v>
                </c:pt>
                <c:pt idx="546">
                  <c:v>385.3123859736491</c:v>
                </c:pt>
                <c:pt idx="547">
                  <c:v>386.81366818714224</c:v>
                </c:pt>
                <c:pt idx="548">
                  <c:v>388.31738010643551</c:v>
                </c:pt>
                <c:pt idx="549">
                  <c:v>389.82351538407715</c:v>
                </c:pt>
                <c:pt idx="550">
                  <c:v>391.33206740907536</c:v>
                </c:pt>
                <c:pt idx="551">
                  <c:v>392.84302868573388</c:v>
                </c:pt>
                <c:pt idx="552">
                  <c:v>394.3563911004893</c:v>
                </c:pt>
                <c:pt idx="553">
                  <c:v>395.87214654394819</c:v>
                </c:pt>
                <c:pt idx="554">
                  <c:v>397.39028691100901</c:v>
                </c:pt>
                <c:pt idx="555">
                  <c:v>398.91080410098306</c:v>
                </c:pt>
                <c:pt idx="556">
                  <c:v>400.4336900177147</c:v>
                </c:pt>
                <c:pt idx="557">
                  <c:v>401.95893656970037</c:v>
                </c:pt>
                <c:pt idx="558">
                  <c:v>403.48653567020705</c:v>
                </c:pt>
                <c:pt idx="559">
                  <c:v>405.01647923738955</c:v>
                </c:pt>
                <c:pt idx="560">
                  <c:v>406.54875919440695</c:v>
                </c:pt>
                <c:pt idx="561">
                  <c:v>408.0833674695383</c:v>
                </c:pt>
                <c:pt idx="562">
                  <c:v>409.62029599629727</c:v>
                </c:pt>
                <c:pt idx="563">
                  <c:v>411.15953671354595</c:v>
                </c:pt>
                <c:pt idx="564">
                  <c:v>412.70108156560758</c:v>
                </c:pt>
                <c:pt idx="565">
                  <c:v>414.24492250237881</c:v>
                </c:pt>
                <c:pt idx="566">
                  <c:v>415.79105147944051</c:v>
                </c:pt>
                <c:pt idx="567">
                  <c:v>417.33946045816816</c:v>
                </c:pt>
                <c:pt idx="568">
                  <c:v>418.89014140584101</c:v>
                </c:pt>
                <c:pt idx="569">
                  <c:v>420.44308629575056</c:v>
                </c:pt>
                <c:pt idx="570">
                  <c:v>421.99828710730793</c:v>
                </c:pt>
                <c:pt idx="571">
                  <c:v>423.55573582615062</c:v>
                </c:pt>
                <c:pt idx="572">
                  <c:v>425.11542444424805</c:v>
                </c:pt>
                <c:pt idx="573">
                  <c:v>426.67734496000639</c:v>
                </c:pt>
                <c:pt idx="574">
                  <c:v>428.24148937837265</c:v>
                </c:pt>
                <c:pt idx="575">
                  <c:v>429.80784971093749</c:v>
                </c:pt>
                <c:pt idx="576">
                  <c:v>431.37641797603743</c:v>
                </c:pt>
                <c:pt idx="577">
                  <c:v>432.947186198856</c:v>
                </c:pt>
                <c:pt idx="578">
                  <c:v>434.52014641152425</c:v>
                </c:pt>
                <c:pt idx="579">
                  <c:v>436.09529065322005</c:v>
                </c:pt>
                <c:pt idx="580">
                  <c:v>437.67261097026676</c:v>
                </c:pt>
                <c:pt idx="581">
                  <c:v>439.25209941623081</c:v>
                </c:pt>
                <c:pt idx="582">
                  <c:v>440.83374805201856</c:v>
                </c:pt>
                <c:pt idx="583">
                  <c:v>442.41754894597221</c:v>
                </c:pt>
                <c:pt idx="584">
                  <c:v>444.00349417396484</c:v>
                </c:pt>
                <c:pt idx="585">
                  <c:v>445.59157581949449</c:v>
                </c:pt>
                <c:pt idx="586">
                  <c:v>447.18178597377749</c:v>
                </c:pt>
                <c:pt idx="587">
                  <c:v>448.77411673584083</c:v>
                </c:pt>
                <c:pt idx="588">
                  <c:v>450.36856021261366</c:v>
                </c:pt>
                <c:pt idx="589">
                  <c:v>451.96510851901792</c:v>
                </c:pt>
                <c:pt idx="590">
                  <c:v>453.56375377805813</c:v>
                </c:pt>
                <c:pt idx="591">
                  <c:v>455.16448812091022</c:v>
                </c:pt>
                <c:pt idx="592">
                  <c:v>456.7673036870097</c:v>
                </c:pt>
                <c:pt idx="593">
                  <c:v>458.37219262413862</c:v>
                </c:pt>
                <c:pt idx="594">
                  <c:v>459.97914708851198</c:v>
                </c:pt>
                <c:pt idx="595">
                  <c:v>461.58815924486311</c:v>
                </c:pt>
                <c:pt idx="596">
                  <c:v>463.19922126652818</c:v>
                </c:pt>
                <c:pt idx="597">
                  <c:v>464.81232533553003</c:v>
                </c:pt>
                <c:pt idx="598">
                  <c:v>466.42746364266083</c:v>
                </c:pt>
                <c:pt idx="599">
                  <c:v>468.04462838756422</c:v>
                </c:pt>
                <c:pt idx="600">
                  <c:v>469.6638117788163</c:v>
                </c:pt>
                <c:pt idx="601">
                  <c:v>471.28500603400607</c:v>
                </c:pt>
                <c:pt idx="602">
                  <c:v>472.90820337981467</c:v>
                </c:pt>
                <c:pt idx="603">
                  <c:v>474.53339605209402</c:v>
                </c:pt>
                <c:pt idx="604">
                  <c:v>476.16057629594457</c:v>
                </c:pt>
                <c:pt idx="605">
                  <c:v>477.78973636579218</c:v>
                </c:pt>
                <c:pt idx="606">
                  <c:v>479.42086852546419</c:v>
                </c:pt>
                <c:pt idx="607">
                  <c:v>481.0539650482645</c:v>
                </c:pt>
                <c:pt idx="608">
                  <c:v>482.68901821704804</c:v>
                </c:pt>
                <c:pt idx="609">
                  <c:v>484.32602032429423</c:v>
                </c:pt>
                <c:pt idx="610">
                  <c:v>485.96496367217981</c:v>
                </c:pt>
                <c:pt idx="611">
                  <c:v>487.60584057265049</c:v>
                </c:pt>
                <c:pt idx="612">
                  <c:v>489.24864094450538</c:v>
                </c:pt>
                <c:pt idx="613">
                  <c:v>490.89335231635147</c:v>
                </c:pt>
                <c:pt idx="614">
                  <c:v>492.53996223257684</c:v>
                </c:pt>
                <c:pt idx="615">
                  <c:v>494.18845825348336</c:v>
                </c:pt>
                <c:pt idx="616">
                  <c:v>495.83882795541768</c:v>
                </c:pt>
                <c:pt idx="617">
                  <c:v>497.49105893090064</c:v>
                </c:pt>
                <c:pt idx="618">
                  <c:v>499.14513878875442</c:v>
                </c:pt>
                <c:pt idx="619">
                  <c:v>500.80105515422838</c:v>
                </c:pt>
                <c:pt idx="620">
                  <c:v>502.45879566912294</c:v>
                </c:pt>
                <c:pt idx="621">
                  <c:v>504.11834799191155</c:v>
                </c:pt>
                <c:pt idx="622">
                  <c:v>505.7796997978611</c:v>
                </c:pt>
                <c:pt idx="623">
                  <c:v>507.44283877915058</c:v>
                </c:pt>
                <c:pt idx="624">
                  <c:v>509.10775264498767</c:v>
                </c:pt>
                <c:pt idx="625">
                  <c:v>510.77442912172404</c:v>
                </c:pt>
                <c:pt idx="626">
                  <c:v>512.44285595296856</c:v>
                </c:pt>
                <c:pt idx="627">
                  <c:v>514.11302089969899</c:v>
                </c:pt>
                <c:pt idx="628">
                  <c:v>515.78491174037185</c:v>
                </c:pt>
                <c:pt idx="629">
                  <c:v>517.45851627103048</c:v>
                </c:pt>
                <c:pt idx="630">
                  <c:v>519.13382230541174</c:v>
                </c:pt>
                <c:pt idx="631">
                  <c:v>520.81081767505043</c:v>
                </c:pt>
                <c:pt idx="632">
                  <c:v>522.4894902293828</c:v>
                </c:pt>
                <c:pt idx="633">
                  <c:v>524.1698278358474</c:v>
                </c:pt>
                <c:pt idx="634">
                  <c:v>525.85181837998527</c:v>
                </c:pt>
                <c:pt idx="635">
                  <c:v>527.53544976553769</c:v>
                </c:pt>
                <c:pt idx="636">
                  <c:v>529.22070991454257</c:v>
                </c:pt>
                <c:pt idx="637">
                  <c:v>530.90758676742917</c:v>
                </c:pt>
                <c:pt idx="638">
                  <c:v>532.59606828311121</c:v>
                </c:pt>
                <c:pt idx="639">
                  <c:v>534.28614243907828</c:v>
                </c:pt>
                <c:pt idx="640">
                  <c:v>535.97779723148551</c:v>
                </c:pt>
                <c:pt idx="641">
                  <c:v>537.67102067524195</c:v>
                </c:pt>
                <c:pt idx="642">
                  <c:v>539.36580080409692</c:v>
                </c:pt>
                <c:pt idx="643">
                  <c:v>541.06212567072498</c:v>
                </c:pt>
                <c:pt idx="644">
                  <c:v>542.75998334680924</c:v>
                </c:pt>
                <c:pt idx="645">
                  <c:v>544.4593619231232</c:v>
                </c:pt>
                <c:pt idx="646">
                  <c:v>546.16024279512942</c:v>
                </c:pt>
                <c:pt idx="647">
                  <c:v>547.86259992640112</c:v>
                </c:pt>
                <c:pt idx="648">
                  <c:v>549.56640657451646</c:v>
                </c:pt>
                <c:pt idx="649">
                  <c:v>551.27163603926397</c:v>
                </c:pt>
                <c:pt idx="650">
                  <c:v>552.97826166298705</c:v>
                </c:pt>
                <c:pt idx="651">
                  <c:v>554.68625683092239</c:v>
                </c:pt>
                <c:pt idx="652">
                  <c:v>556.39559497153061</c:v>
                </c:pt>
                <c:pt idx="653">
                  <c:v>558.10624955682113</c:v>
                </c:pt>
                <c:pt idx="654">
                  <c:v>559.81819410266928</c:v>
                </c:pt>
                <c:pt idx="655">
                  <c:v>561.53140216912766</c:v>
                </c:pt>
                <c:pt idx="656">
                  <c:v>563.24584736073018</c:v>
                </c:pt>
                <c:pt idx="657">
                  <c:v>564.96150332678963</c:v>
                </c:pt>
                <c:pt idx="658">
                  <c:v>566.67834376168867</c:v>
                </c:pt>
                <c:pt idx="659">
                  <c:v>568.39634240516432</c:v>
                </c:pt>
                <c:pt idx="660">
                  <c:v>570.1154730425859</c:v>
                </c:pt>
                <c:pt idx="661">
                  <c:v>571.83570950522619</c:v>
                </c:pt>
                <c:pt idx="662">
                  <c:v>573.55702567052674</c:v>
                </c:pt>
                <c:pt idx="663">
                  <c:v>575.27939546235586</c:v>
                </c:pt>
                <c:pt idx="664">
                  <c:v>577.00279285126135</c:v>
                </c:pt>
                <c:pt idx="665">
                  <c:v>578.72719185471578</c:v>
                </c:pt>
                <c:pt idx="666">
                  <c:v>580.4525522489397</c:v>
                </c:pt>
                <c:pt idx="667">
                  <c:v>582.17881602004081</c:v>
                </c:pt>
                <c:pt idx="668">
                  <c:v>583.90592168575392</c:v>
                </c:pt>
                <c:pt idx="669">
                  <c:v>585.63380787850758</c:v>
                </c:pt>
                <c:pt idx="670">
                  <c:v>587.36241334693602</c:v>
                </c:pt>
                <c:pt idx="671">
                  <c:v>589.09167695735596</c:v>
                </c:pt>
                <c:pt idx="672">
                  <c:v>590.82153769521005</c:v>
                </c:pt>
                <c:pt idx="673">
                  <c:v>592.55193466647609</c:v>
                </c:pt>
                <c:pt idx="674">
                  <c:v>594.28280709904209</c:v>
                </c:pt>
                <c:pt idx="675">
                  <c:v>596.01409434404809</c:v>
                </c:pt>
                <c:pt idx="676">
                  <c:v>597.74573587719431</c:v>
                </c:pt>
                <c:pt idx="677">
                  <c:v>599.47767130001569</c:v>
                </c:pt>
                <c:pt idx="678">
                  <c:v>601.20984034112382</c:v>
                </c:pt>
                <c:pt idx="679">
                  <c:v>602.94218285741545</c:v>
                </c:pt>
                <c:pt idx="680">
                  <c:v>604.67463883524817</c:v>
                </c:pt>
                <c:pt idx="681">
                  <c:v>606.40714839158375</c:v>
                </c:pt>
                <c:pt idx="682">
                  <c:v>608.13965177509874</c:v>
                </c:pt>
                <c:pt idx="683">
                  <c:v>609.87208936726347</c:v>
                </c:pt>
                <c:pt idx="684">
                  <c:v>611.60440168338812</c:v>
                </c:pt>
                <c:pt idx="685">
                  <c:v>613.33652937363752</c:v>
                </c:pt>
                <c:pt idx="686">
                  <c:v>615.06841322401465</c:v>
                </c:pt>
                <c:pt idx="687">
                  <c:v>616.79999415731186</c:v>
                </c:pt>
                <c:pt idx="688">
                  <c:v>618.53121323403195</c:v>
                </c:pt>
                <c:pt idx="689">
                  <c:v>620.26201165327745</c:v>
                </c:pt>
                <c:pt idx="690">
                  <c:v>621.99233075360962</c:v>
                </c:pt>
                <c:pt idx="691">
                  <c:v>623.72211201387711</c:v>
                </c:pt>
                <c:pt idx="692">
                  <c:v>625.45129705401405</c:v>
                </c:pt>
                <c:pt idx="693">
                  <c:v>627.1798276358079</c:v>
                </c:pt>
                <c:pt idx="694">
                  <c:v>628.9076456636385</c:v>
                </c:pt>
                <c:pt idx="695">
                  <c:v>630.63469318518639</c:v>
                </c:pt>
                <c:pt idx="696">
                  <c:v>632.36091239211271</c:v>
                </c:pt>
                <c:pt idx="697">
                  <c:v>634.08624562070952</c:v>
                </c:pt>
                <c:pt idx="698">
                  <c:v>635.8106353525219</c:v>
                </c:pt>
                <c:pt idx="699">
                  <c:v>637.53402421494093</c:v>
                </c:pt>
                <c:pt idx="700">
                  <c:v>639.2563549817686</c:v>
                </c:pt>
                <c:pt idx="701">
                  <c:v>640.97757057375497</c:v>
                </c:pt>
                <c:pt idx="702">
                  <c:v>642.69761405910708</c:v>
                </c:pt>
                <c:pt idx="703">
                  <c:v>644.4164286539708</c:v>
                </c:pt>
                <c:pt idx="704">
                  <c:v>646.13395772288504</c:v>
                </c:pt>
                <c:pt idx="705">
                  <c:v>647.85014477920947</c:v>
                </c:pt>
                <c:pt idx="706">
                  <c:v>649.56493348552476</c:v>
                </c:pt>
                <c:pt idx="707">
                  <c:v>651.27826765400732</c:v>
                </c:pt>
                <c:pt idx="708">
                  <c:v>652.99009085590558</c:v>
                </c:pt>
                <c:pt idx="709">
                  <c:v>654.70034290369836</c:v>
                </c:pt>
                <c:pt idx="710">
                  <c:v>656.40896025399263</c:v>
                </c:pt>
                <c:pt idx="711">
                  <c:v>658.1158795378168</c:v>
                </c:pt>
                <c:pt idx="712">
                  <c:v>659.82103756111792</c:v>
                </c:pt>
                <c:pt idx="713">
                  <c:v>661.52437130522549</c:v>
                </c:pt>
                <c:pt idx="714">
                  <c:v>663.22581792728249</c:v>
                </c:pt>
                <c:pt idx="715">
                  <c:v>664.925314760643</c:v>
                </c:pt>
                <c:pt idx="716">
                  <c:v>666.62279931523744</c:v>
                </c:pt>
                <c:pt idx="717">
                  <c:v>668.31820927790579</c:v>
                </c:pt>
                <c:pt idx="718">
                  <c:v>670.01148251269865</c:v>
                </c:pt>
                <c:pt idx="719">
                  <c:v>671.70255706114722</c:v>
                </c:pt>
                <c:pt idx="720">
                  <c:v>673.39137114250173</c:v>
                </c:pt>
                <c:pt idx="721">
                  <c:v>675.07786315393969</c:v>
                </c:pt>
                <c:pt idx="722">
                  <c:v>676.76197167074281</c:v>
                </c:pt>
                <c:pt idx="723">
                  <c:v>678.44363544644466</c:v>
                </c:pt>
                <c:pt idx="724">
                  <c:v>680.12279341294834</c:v>
                </c:pt>
                <c:pt idx="725">
                  <c:v>681.79933484663991</c:v>
                </c:pt>
                <c:pt idx="726">
                  <c:v>683.47307818702404</c:v>
                </c:pt>
                <c:pt idx="727">
                  <c:v>685.1439280080034</c:v>
                </c:pt>
                <c:pt idx="728">
                  <c:v>686.81189607377462</c:v>
                </c:pt>
                <c:pt idx="729">
                  <c:v>688.47699407631842</c:v>
                </c:pt>
                <c:pt idx="730">
                  <c:v>690.1392336359977</c:v>
                </c:pt>
                <c:pt idx="731">
                  <c:v>691.7986263021487</c:v>
                </c:pt>
                <c:pt idx="732">
                  <c:v>693.45518355366687</c:v>
                </c:pt>
                <c:pt idx="733">
                  <c:v>695.10891679958604</c:v>
                </c:pt>
                <c:pt idx="734">
                  <c:v>696.75983737965157</c:v>
                </c:pt>
                <c:pt idx="735">
                  <c:v>698.40795656488842</c:v>
                </c:pt>
                <c:pt idx="736">
                  <c:v>700.0532855581622</c:v>
                </c:pt>
                <c:pt idx="737">
                  <c:v>701.69583549473543</c:v>
                </c:pt>
                <c:pt idx="738">
                  <c:v>703.33561744281735</c:v>
                </c:pt>
                <c:pt idx="739">
                  <c:v>704.97264240410891</c:v>
                </c:pt>
                <c:pt idx="740">
                  <c:v>706.60692131434132</c:v>
                </c:pt>
                <c:pt idx="741">
                  <c:v>708.23846504380981</c:v>
                </c:pt>
                <c:pt idx="742">
                  <c:v>709.86728439790159</c:v>
                </c:pt>
                <c:pt idx="743">
                  <c:v>711.49339011761879</c:v>
                </c:pt>
                <c:pt idx="744">
                  <c:v>713.11679288009555</c:v>
                </c:pt>
                <c:pt idx="745">
                  <c:v>714.73750329911047</c:v>
                </c:pt>
                <c:pt idx="746">
                  <c:v>716.3555319255936</c:v>
                </c:pt>
                <c:pt idx="747">
                  <c:v>717.97088924812829</c:v>
                </c:pt>
                <c:pt idx="748">
                  <c:v>719.5835856934483</c:v>
                </c:pt>
                <c:pt idx="749">
                  <c:v>721.19363162692957</c:v>
                </c:pt>
                <c:pt idx="750">
                  <c:v>722.80103735307716</c:v>
                </c:pt>
                <c:pt idx="751">
                  <c:v>724.40581311600772</c:v>
                </c:pt>
                <c:pt idx="752">
                  <c:v>726.00796909992653</c:v>
                </c:pt>
                <c:pt idx="753">
                  <c:v>727.6075154296002</c:v>
                </c:pt>
                <c:pt idx="754">
                  <c:v>729.20446217082474</c:v>
                </c:pt>
                <c:pt idx="755">
                  <c:v>730.7988193308887</c:v>
                </c:pt>
                <c:pt idx="756">
                  <c:v>732.39059685903203</c:v>
                </c:pt>
                <c:pt idx="757">
                  <c:v>733.97980464690011</c:v>
                </c:pt>
                <c:pt idx="758">
                  <c:v>735.56645252899375</c:v>
                </c:pt>
                <c:pt idx="759">
                  <c:v>737.15055028311417</c:v>
                </c:pt>
                <c:pt idx="760">
                  <c:v>738.73210763080431</c:v>
                </c:pt>
                <c:pt idx="761">
                  <c:v>740.31113423778527</c:v>
                </c:pt>
                <c:pt idx="762">
                  <c:v>741.8876397143888</c:v>
                </c:pt>
                <c:pt idx="763">
                  <c:v>743.46163361598542</c:v>
                </c:pt>
                <c:pt idx="764">
                  <c:v>745.03312544340861</c:v>
                </c:pt>
                <c:pt idx="765">
                  <c:v>746.60212464337462</c:v>
                </c:pt>
                <c:pt idx="766">
                  <c:v>748.16864060889827</c:v>
                </c:pt>
                <c:pt idx="767">
                  <c:v>749.73268267970479</c:v>
                </c:pt>
                <c:pt idx="768">
                  <c:v>751.29426014263777</c:v>
                </c:pt>
                <c:pt idx="769">
                  <c:v>752.85338223206315</c:v>
                </c:pt>
                <c:pt idx="770">
                  <c:v>754.41005813026925</c:v>
                </c:pt>
                <c:pt idx="771">
                  <c:v>755.96429696786277</c:v>
                </c:pt>
                <c:pt idx="772">
                  <c:v>757.51610782416162</c:v>
                </c:pt>
                <c:pt idx="773">
                  <c:v>759.06549972758341</c:v>
                </c:pt>
                <c:pt idx="774">
                  <c:v>760.61248165603058</c:v>
                </c:pt>
                <c:pt idx="775">
                  <c:v>762.15706253727137</c:v>
                </c:pt>
                <c:pt idx="776">
                  <c:v>763.69925124931819</c:v>
                </c:pt>
                <c:pt idx="777">
                  <c:v>765.23905662080108</c:v>
                </c:pt>
                <c:pt idx="778">
                  <c:v>766.77648743133875</c:v>
                </c:pt>
                <c:pt idx="779">
                  <c:v>768.31155241190561</c:v>
                </c:pt>
                <c:pt idx="780">
                  <c:v>769.84426024519541</c:v>
                </c:pt>
                <c:pt idx="781">
                  <c:v>771.37461956598156</c:v>
                </c:pt>
                <c:pt idx="782">
                  <c:v>772.9026389614736</c:v>
                </c:pt>
                <c:pt idx="783">
                  <c:v>774.42832697167137</c:v>
                </c:pt>
                <c:pt idx="784">
                  <c:v>775.9516920897147</c:v>
                </c:pt>
                <c:pt idx="785">
                  <c:v>777.47274276223061</c:v>
                </c:pt>
                <c:pt idx="786">
                  <c:v>778.99148738967699</c:v>
                </c:pt>
                <c:pt idx="787">
                  <c:v>780.5079343266832</c:v>
                </c:pt>
                <c:pt idx="788">
                  <c:v>782.02209188238726</c:v>
                </c:pt>
                <c:pt idx="789">
                  <c:v>783.53396832077033</c:v>
                </c:pt>
                <c:pt idx="790">
                  <c:v>785.04357186098775</c:v>
                </c:pt>
                <c:pt idx="791">
                  <c:v>786.55091067769729</c:v>
                </c:pt>
                <c:pt idx="792">
                  <c:v>788.05599290138389</c:v>
                </c:pt>
                <c:pt idx="793">
                  <c:v>789.55882661868225</c:v>
                </c:pt>
                <c:pt idx="794">
                  <c:v>791.0594198726958</c:v>
                </c:pt>
                <c:pt idx="795">
                  <c:v>792.55778066331277</c:v>
                </c:pt>
                <c:pt idx="796">
                  <c:v>794.05391694751984</c:v>
                </c:pt>
                <c:pt idx="797">
                  <c:v>795.54783663971239</c:v>
                </c:pt>
                <c:pt idx="798">
                  <c:v>797.03954761200237</c:v>
                </c:pt>
                <c:pt idx="799">
                  <c:v>798.52905769452309</c:v>
                </c:pt>
                <c:pt idx="800">
                  <c:v>800.01637467573119</c:v>
                </c:pt>
                <c:pt idx="801">
                  <c:v>814.76952385047719</c:v>
                </c:pt>
                <c:pt idx="802">
                  <c:v>829.30832768100458</c:v>
                </c:pt>
                <c:pt idx="803">
                  <c:v>843.6401969810554</c:v>
                </c:pt>
                <c:pt idx="804">
                  <c:v>857.77216272119836</c:v>
                </c:pt>
                <c:pt idx="805">
                  <c:v>871.7109019758359</c:v>
                </c:pt>
                <c:pt idx="806">
                  <c:v>885.46276167163603</c:v>
                </c:pt>
                <c:pt idx="807">
                  <c:v>899.03378035864546</c:v>
                </c:pt>
                <c:pt idx="808">
                  <c:v>912.42970819966786</c:v>
                </c:pt>
                <c:pt idx="809">
                  <c:v>925.65602535117978</c:v>
                </c:pt>
                <c:pt idx="810">
                  <c:v>938.71795888961822</c:v>
                </c:pt>
                <c:pt idx="811">
                  <c:v>951.62049841989653</c:v>
                </c:pt>
                <c:pt idx="812">
                  <c:v>964.36841048814654</c:v>
                </c:pt>
                <c:pt idx="813">
                  <c:v>976.96625190764348</c:v>
                </c:pt>
                <c:pt idx="814">
                  <c:v>989.41838209541083</c:v>
                </c:pt>
                <c:pt idx="815">
                  <c:v>1001.7289745068962</c:v>
                </c:pt>
                <c:pt idx="816">
                  <c:v>1013.9020272471964</c:v>
                </c:pt>
                <c:pt idx="817">
                  <c:v>1025.9413729294172</c:v>
                </c:pt>
                <c:pt idx="818">
                  <c:v>1037.850687843762</c:v>
                </c:pt>
                <c:pt idx="819">
                  <c:v>1049.6335004947352</c:v>
                </c:pt>
                <c:pt idx="820">
                  <c:v>1061.2931995583219</c:v>
                </c:pt>
                <c:pt idx="821">
                  <c:v>1072.8330413060839</c:v>
                </c:pt>
                <c:pt idx="822">
                  <c:v>1084.2561565387193</c:v>
                </c:pt>
                <c:pt idx="823">
                  <c:v>1095.5655570677038</c:v>
                </c:pt>
                <c:pt idx="824">
                  <c:v>1106.7641417801162</c:v>
                </c:pt>
                <c:pt idx="825">
                  <c:v>1117.8547023185929</c:v>
                </c:pt>
                <c:pt idx="826">
                  <c:v>1128.839928405527</c:v>
                </c:pt>
                <c:pt idx="827">
                  <c:v>1139.7224128380731</c:v>
                </c:pt>
                <c:pt idx="828">
                  <c:v>1150.5046561782281</c:v>
                </c:pt>
                <c:pt idx="829">
                  <c:v>1161.1890711601809</c:v>
                </c:pt>
                <c:pt idx="830">
                  <c:v>1171.7779868352602</c:v>
                </c:pt>
                <c:pt idx="831">
                  <c:v>1182.2736524731085</c:v>
                </c:pt>
                <c:pt idx="832">
                  <c:v>1192.6782412361865</c:v>
                </c:pt>
                <c:pt idx="833">
                  <c:v>1202.9938536433151</c:v>
                </c:pt>
                <c:pt idx="834">
                  <c:v>1213.2225208367056</c:v>
                </c:pt>
                <c:pt idx="835">
                  <c:v>1223.3662076657772</c:v>
                </c:pt>
                <c:pt idx="836">
                  <c:v>1233.4268156000228</c:v>
                </c:pt>
                <c:pt idx="837">
                  <c:v>1243.4061854822273</c:v>
                </c:pt>
                <c:pt idx="838">
                  <c:v>1253.3061001324797</c:v>
                </c:pt>
                <c:pt idx="839">
                  <c:v>1263.1282868126273</c:v>
                </c:pt>
                <c:pt idx="840">
                  <c:v>1272.8744195600955</c:v>
                </c:pt>
                <c:pt idx="841">
                  <c:v>1282.5461213993365</c:v>
                </c:pt>
                <c:pt idx="842">
                  <c:v>1292.1449664385621</c:v>
                </c:pt>
                <c:pt idx="843">
                  <c:v>1301.6724818588616</c:v>
                </c:pt>
                <c:pt idx="844">
                  <c:v>1311.1301498022938</c:v>
                </c:pt>
                <c:pt idx="845">
                  <c:v>1320.5194091650756</c:v>
                </c:pt>
                <c:pt idx="846">
                  <c:v>1329.8416573015568</c:v>
                </c:pt>
                <c:pt idx="847">
                  <c:v>1339.0982516442768</c:v>
                </c:pt>
                <c:pt idx="848">
                  <c:v>1348.2905112450314</c:v>
                </c:pt>
                <c:pt idx="849">
                  <c:v>1357.4197182415439</c:v>
                </c:pt>
                <c:pt idx="850">
                  <c:v>1366.4871192540218</c:v>
                </c:pt>
                <c:pt idx="851">
                  <c:v>1375.4939267155958</c:v>
                </c:pt>
                <c:pt idx="852">
                  <c:v>1384.4413201403725</c:v>
                </c:pt>
                <c:pt idx="853">
                  <c:v>1393.3304473325857</c:v>
                </c:pt>
                <c:pt idx="854">
                  <c:v>1402.1624255401073</c:v>
                </c:pt>
                <c:pt idx="855">
                  <c:v>1410.9383425553667</c:v>
                </c:pt>
                <c:pt idx="856">
                  <c:v>1419.6592577665338</c:v>
                </c:pt>
                <c:pt idx="857">
                  <c:v>1428.3262031616396</c:v>
                </c:pt>
                <c:pt idx="858">
                  <c:v>1436.9401842881423</c:v>
                </c:pt>
                <c:pt idx="859">
                  <c:v>1445.5021811702886</c:v>
                </c:pt>
                <c:pt idx="860">
                  <c:v>1454.013149186479</c:v>
                </c:pt>
                <c:pt idx="861">
                  <c:v>1462.4740199087059</c:v>
                </c:pt>
                <c:pt idx="862">
                  <c:v>1470.8857019060144</c:v>
                </c:pt>
                <c:pt idx="863">
                  <c:v>1479.2490815138131</c:v>
                </c:pt>
                <c:pt idx="864">
                  <c:v>1487.5650235707574</c:v>
                </c:pt>
                <c:pt idx="865">
                  <c:v>1495.834372124825</c:v>
                </c:pt>
                <c:pt idx="866">
                  <c:v>1504.0579511101082</c:v>
                </c:pt>
                <c:pt idx="867">
                  <c:v>1512.236564995759</c:v>
                </c:pt>
                <c:pt idx="868">
                  <c:v>1520.370999408442</c:v>
                </c:pt>
                <c:pt idx="869">
                  <c:v>1528.4620217295721</c:v>
                </c:pt>
                <c:pt idx="870">
                  <c:v>1536.5103816685398</c:v>
                </c:pt>
                <c:pt idx="871">
                  <c:v>1544.5168118130623</c:v>
                </c:pt>
                <c:pt idx="872">
                  <c:v>1552.4820281577342</c:v>
                </c:pt>
                <c:pt idx="873">
                  <c:v>1560.4067306117909</c:v>
                </c:pt>
                <c:pt idx="874">
                  <c:v>1568.2916034870423</c:v>
                </c:pt>
                <c:pt idx="875">
                  <c:v>1576.1373159668869</c:v>
                </c:pt>
                <c:pt idx="876">
                  <c:v>1583.9445225572588</c:v>
                </c:pt>
                <c:pt idx="877">
                  <c:v>1591.7138635203214</c:v>
                </c:pt>
                <c:pt idx="878">
                  <c:v>1599.4459652916767</c:v>
                </c:pt>
                <c:pt idx="879">
                  <c:v>1607.1414408818137</c:v>
                </c:pt>
                <c:pt idx="880">
                  <c:v>1614.8008902624897</c:v>
                </c:pt>
                <c:pt idx="881">
                  <c:v>1622.4249007386939</c:v>
                </c:pt>
                <c:pt idx="882">
                  <c:v>1630.0140473068136</c:v>
                </c:pt>
                <c:pt idx="883">
                  <c:v>1637.5688929995913</c:v>
                </c:pt>
                <c:pt idx="884">
                  <c:v>1645.0899892184282</c:v>
                </c:pt>
                <c:pt idx="885">
                  <c:v>1652.5778760535638</c:v>
                </c:pt>
                <c:pt idx="886">
                  <c:v>1660.0330825926335</c:v>
                </c:pt>
                <c:pt idx="887">
                  <c:v>1667.4561272180795</c:v>
                </c:pt>
                <c:pt idx="888">
                  <c:v>1674.8475178938713</c:v>
                </c:pt>
                <c:pt idx="889">
                  <c:v>1682.2077524419624</c:v>
                </c:pt>
                <c:pt idx="890">
                  <c:v>1689.5373188088936</c:v>
                </c:pt>
                <c:pt idx="891">
                  <c:v>1696.8366953229327</c:v>
                </c:pt>
                <c:pt idx="892">
                  <c:v>1704.1063509421185</c:v>
                </c:pt>
                <c:pt idx="893">
                  <c:v>1711.3467454935637</c:v>
                </c:pt>
                <c:pt idx="894">
                  <c:v>1718.5583299043476</c:v>
                </c:pt>
                <c:pt idx="895">
                  <c:v>1725.7415464243199</c:v>
                </c:pt>
                <c:pt idx="896">
                  <c:v>1732.8968288411183</c:v>
                </c:pt>
                <c:pt idx="897">
                  <c:v>1740.0246026876882</c:v>
                </c:pt>
                <c:pt idx="898">
                  <c:v>1747.1252854425784</c:v>
                </c:pt>
                <c:pt idx="899">
                  <c:v>1754.1992867232768</c:v>
                </c:pt>
                <c:pt idx="900">
                  <c:v>1761.2470084728332</c:v>
                </c:pt>
                <c:pt idx="901">
                  <c:v>1768.2688451400081</c:v>
                </c:pt>
                <c:pt idx="902">
                  <c:v>1775.2651838531742</c:v>
                </c:pt>
                <c:pt idx="903">
                  <c:v>1782.2364045881843</c:v>
                </c:pt>
                <c:pt idx="904">
                  <c:v>1789.182880330414</c:v>
                </c:pt>
                <c:pt idx="905">
                  <c:v>1796.1049772311733</c:v>
                </c:pt>
                <c:pt idx="906">
                  <c:v>1803.0030547586741</c:v>
                </c:pt>
                <c:pt idx="907">
                  <c:v>1809.8774658437342</c:v>
                </c:pt>
                <c:pt idx="908">
                  <c:v>1816.7285570203831</c:v>
                </c:pt>
                <c:pt idx="909">
                  <c:v>1823.5566685615374</c:v>
                </c:pt>
                <c:pt idx="910">
                  <c:v>1830.3621346098964</c:v>
                </c:pt>
                <c:pt idx="911">
                  <c:v>1837.1452833042056</c:v>
                </c:pt>
                <c:pt idx="912">
                  <c:v>1843.9064369010323</c:v>
                </c:pt>
                <c:pt idx="913">
                  <c:v>1850.6459118921834</c:v>
                </c:pt>
                <c:pt idx="914">
                  <c:v>1857.3640191178974</c:v>
                </c:pt>
                <c:pt idx="915">
                  <c:v>1864.0610638759294</c:v>
                </c:pt>
                <c:pt idx="916">
                  <c:v>1870.7373460266499</c:v>
                </c:pt>
                <c:pt idx="917">
                  <c:v>1877.393160094266</c:v>
                </c:pt>
                <c:pt idx="918">
                  <c:v>1884.0287953642742</c:v>
                </c:pt>
                <c:pt idx="919">
                  <c:v>1890.6445359772445</c:v>
                </c:pt>
                <c:pt idx="920">
                  <c:v>1897.2406610190367</c:v>
                </c:pt>
                <c:pt idx="921">
                  <c:v>1903.8174446075388</c:v>
                </c:pt>
                <c:pt idx="922">
                  <c:v>1910.3751559760203</c:v>
                </c:pt>
                <c:pt idx="923">
                  <c:v>1916.9140595531837</c:v>
                </c:pt>
                <c:pt idx="924">
                  <c:v>1923.4344150399988</c:v>
                </c:pt>
                <c:pt idx="925">
                  <c:v>1929.9364774833978</c:v>
                </c:pt>
                <c:pt idx="926">
                  <c:v>1936.4204973469064</c:v>
                </c:pt>
                <c:pt idx="927">
                  <c:v>1942.8867205782876</c:v>
                </c:pt>
                <c:pt idx="928">
                  <c:v>1949.3353886742655</c:v>
                </c:pt>
                <c:pt idx="929">
                  <c:v>1955.766738742399</c:v>
                </c:pt>
                <c:pt idx="930">
                  <c:v>1962.1810035601727</c:v>
                </c:pt>
                <c:pt idx="931">
                  <c:v>1968.5784116313687</c:v>
                </c:pt>
                <c:pt idx="932">
                  <c:v>1974.9591872397812</c:v>
                </c:pt>
                <c:pt idx="933">
                  <c:v>1981.3235505003374</c:v>
                </c:pt>
                <c:pt idx="934">
                  <c:v>1987.6717174076841</c:v>
                </c:pt>
                <c:pt idx="935">
                  <c:v>1994.0038998822979</c:v>
                </c:pt>
                <c:pt idx="936">
                  <c:v>2000.3203058141803</c:v>
                </c:pt>
                <c:pt idx="937">
                  <c:v>2006.6211391041936</c:v>
                </c:pt>
                <c:pt idx="938">
                  <c:v>2012.9065997030962</c:v>
                </c:pt>
                <c:pt idx="939">
                  <c:v>2019.1768836483352</c:v>
                </c:pt>
                <c:pt idx="940">
                  <c:v>2025.4321830986548</c:v>
                </c:pt>
                <c:pt idx="941">
                  <c:v>2031.6726863665788</c:v>
                </c:pt>
                <c:pt idx="942">
                  <c:v>2037.8985779488255</c:v>
                </c:pt>
                <c:pt idx="943">
                  <c:v>2044.1100385547177</c:v>
                </c:pt>
                <c:pt idx="944">
                  <c:v>2050.307245132647</c:v>
                </c:pt>
                <c:pt idx="945">
                  <c:v>2056.4903708946581</c:v>
                </c:pt>
                <c:pt idx="946">
                  <c:v>2062.6595853392155</c:v>
                </c:pt>
                <c:pt idx="947">
                  <c:v>2068.8150542722206</c:v>
                </c:pt>
                <c:pt idx="948">
                  <c:v>2074.9569398263498</c:v>
                </c:pt>
                <c:pt idx="949">
                  <c:v>2081.0854004787834</c:v>
                </c:pt>
                <c:pt idx="950">
                  <c:v>2087.2005910673993</c:v>
                </c:pt>
                <c:pt idx="951">
                  <c:v>2093.3026628055113</c:v>
                </c:pt>
                <c:pt idx="952">
                  <c:v>2099.3917632952302</c:v>
                </c:pt>
                <c:pt idx="953">
                  <c:v>2105.4680365395325</c:v>
                </c:pt>
                <c:pt idx="954">
                  <c:v>2111.5316229531222</c:v>
                </c:pt>
                <c:pt idx="955">
                  <c:v>2117.5826593721799</c:v>
                </c:pt>
                <c:pt idx="956">
                  <c:v>2123.6212790630889</c:v>
                </c:pt>
                <c:pt idx="957">
                  <c:v>2129.6476117302395</c:v>
                </c:pt>
                <c:pt idx="958">
                  <c:v>2135.6617835230131</c:v>
                </c:pt>
                <c:pt idx="959">
                  <c:v>2141.6639170420494</c:v>
                </c:pt>
                <c:pt idx="960">
                  <c:v>2147.6541313449088</c:v>
                </c:pt>
                <c:pt idx="961">
                  <c:v>2153.6325419512395</c:v>
                </c:pt>
                <c:pt idx="962">
                  <c:v>2159.5992608475667</c:v>
                </c:pt>
                <c:pt idx="963">
                  <c:v>2165.5543964918247</c:v>
                </c:pt>
                <c:pt idx="964">
                  <c:v>2171.4980538177501</c:v>
                </c:pt>
                <c:pt idx="965">
                  <c:v>2177.4303342392636</c:v>
                </c:pt>
                <c:pt idx="966">
                  <c:v>2183.3513356549665</c:v>
                </c:pt>
                <c:pt idx="967">
                  <c:v>2189.2611524528761</c:v>
                </c:pt>
                <c:pt idx="968">
                  <c:v>2195.1598755155374</c:v>
                </c:pt>
                <c:pt idx="969">
                  <c:v>2201.047592225631</c:v>
                </c:pt>
                <c:pt idx="970">
                  <c:v>2206.9243864722152</c:v>
                </c:pt>
                <c:pt idx="971">
                  <c:v>2212.7903386577264</c:v>
                </c:pt>
                <c:pt idx="972">
                  <c:v>2218.6455257058665</c:v>
                </c:pt>
                <c:pt idx="973">
                  <c:v>2224.4900210705014</c:v>
                </c:pt>
                <c:pt idx="974">
                  <c:v>2230.3238947456944</c:v>
                </c:pt>
                <c:pt idx="975">
                  <c:v>2236.1472132769914</c:v>
                </c:pt>
                <c:pt idx="976">
                  <c:v>2241.9600397740678</c:v>
                </c:pt>
                <c:pt idx="977">
                  <c:v>2247.7624339248523</c:v>
                </c:pt>
                <c:pt idx="978">
                  <c:v>2253.5544520112194</c:v>
                </c:pt>
                <c:pt idx="979">
                  <c:v>2259.3361469263514</c:v>
                </c:pt>
                <c:pt idx="980">
                  <c:v>2265.1075681938523</c:v>
                </c:pt>
                <c:pt idx="981">
                  <c:v>2270.8687619886923</c:v>
                </c:pt>
                <c:pt idx="982">
                  <c:v>2276.6197711600475</c:v>
                </c:pt>
                <c:pt idx="983">
                  <c:v>2282.3606352560969</c:v>
                </c:pt>
                <c:pt idx="984">
                  <c:v>2288.0913905508214</c:v>
                </c:pt>
                <c:pt idx="985">
                  <c:v>2293.81207007284</c:v>
                </c:pt>
                <c:pt idx="986">
                  <c:v>2299.5227036363108</c:v>
                </c:pt>
                <c:pt idx="987">
                  <c:v>2305.2233178739098</c:v>
                </c:pt>
                <c:pt idx="988">
                  <c:v>2310.9139362718893</c:v>
                </c:pt>
                <c:pt idx="989">
                  <c:v>2316.5945792072071</c:v>
                </c:pt>
                <c:pt idx="990">
                  <c:v>2322.2652639867069</c:v>
                </c:pt>
                <c:pt idx="991">
                  <c:v>2327.9260048883161</c:v>
                </c:pt>
                <c:pt idx="992">
                  <c:v>2333.5768132042231</c:v>
                </c:pt>
                <c:pt idx="993">
                  <c:v>2339.2176972859784</c:v>
                </c:pt>
                <c:pt idx="994">
                  <c:v>2344.8486625914579</c:v>
                </c:pt>
                <c:pt idx="995">
                  <c:v>2350.46971173362</c:v>
                </c:pt>
                <c:pt idx="996">
                  <c:v>2356.0808445309744</c:v>
                </c:pt>
                <c:pt idx="997">
                  <c:v>2361.6820580596773</c:v>
                </c:pt>
                <c:pt idx="998">
                  <c:v>2367.2733467071607</c:v>
                </c:pt>
                <c:pt idx="999">
                  <c:v>2372.8547022271946</c:v>
                </c:pt>
                <c:pt idx="1000">
                  <c:v>2378.4261137962781</c:v>
                </c:pt>
              </c:numCache>
            </c:numRef>
          </c:xVal>
          <c:yVal>
            <c:numRef>
              <c:f>Calculs!$K$4:$K$1004</c:f>
              <c:numCache>
                <c:formatCode>0.00</c:formatCode>
                <c:ptCount val="1001"/>
                <c:pt idx="0">
                  <c:v>0</c:v>
                </c:pt>
                <c:pt idx="1">
                  <c:v>0</c:v>
                </c:pt>
                <c:pt idx="2">
                  <c:v>6.0020307963908244E-4</c:v>
                </c:pt>
                <c:pt idx="3">
                  <c:v>3.1064297722816271E-3</c:v>
                </c:pt>
                <c:pt idx="4">
                  <c:v>8.9304400737679878E-3</c:v>
                </c:pt>
                <c:pt idx="5">
                  <c:v>1.9213038171493942E-2</c:v>
                </c:pt>
                <c:pt idx="6">
                  <c:v>3.4551735190846859E-2</c:v>
                </c:pt>
                <c:pt idx="7">
                  <c:v>5.5272410308980426E-2</c:v>
                </c:pt>
                <c:pt idx="8">
                  <c:v>8.1701311614856109E-2</c:v>
                </c:pt>
                <c:pt idx="9">
                  <c:v>0.11409101034021218</c:v>
                </c:pt>
                <c:pt idx="10">
                  <c:v>0.15254622098685661</c:v>
                </c:pt>
                <c:pt idx="11">
                  <c:v>0.19709767448295912</c:v>
                </c:pt>
                <c:pt idx="12">
                  <c:v>0.24777611687929663</c:v>
                </c:pt>
                <c:pt idx="13">
                  <c:v>0.30461230917663479</c:v>
                </c:pt>
                <c:pt idx="14">
                  <c:v>0.36763702715105351</c:v>
                </c:pt>
                <c:pt idx="15">
                  <c:v>0.43688106117721259</c:v>
                </c:pt>
                <c:pt idx="16">
                  <c:v>0.51237521604955294</c:v>
                </c:pt>
                <c:pt idx="17">
                  <c:v>0.59415031080143055</c:v>
                </c:pt>
                <c:pt idx="18">
                  <c:v>0.68223717852217791</c:v>
                </c:pt>
                <c:pt idx="19">
                  <c:v>0.77666666617209035</c:v>
                </c:pt>
                <c:pt idx="20">
                  <c:v>0.87746963439533288</c:v>
                </c:pt>
                <c:pt idx="21">
                  <c:v>0.98467177246483362</c:v>
                </c:pt>
                <c:pt idx="22">
                  <c:v>1.0982858104545967</c:v>
                </c:pt>
                <c:pt idx="23">
                  <c:v>1.2183166870123663</c:v>
                </c:pt>
                <c:pt idx="24">
                  <c:v>1.344769319957301</c:v>
                </c:pt>
                <c:pt idx="25">
                  <c:v>1.4776486061968197</c:v>
                </c:pt>
                <c:pt idx="26">
                  <c:v>1.6169594216436829</c:v>
                </c:pt>
                <c:pt idx="27">
                  <c:v>1.7627066211333124</c:v>
                </c:pt>
                <c:pt idx="28">
                  <c:v>1.9148950383413548</c:v>
                </c:pt>
                <c:pt idx="29">
                  <c:v>2.0735294857014872</c:v>
                </c:pt>
                <c:pt idx="30">
                  <c:v>2.2386147543234749</c:v>
                </c:pt>
                <c:pt idx="31">
                  <c:v>2.4101556139114795</c:v>
                </c:pt>
                <c:pt idx="32">
                  <c:v>2.58815681268262</c:v>
                </c:pt>
                <c:pt idx="33">
                  <c:v>2.7726230772857963</c:v>
                </c:pt>
                <c:pt idx="34">
                  <c:v>2.9635591127207697</c:v>
                </c:pt>
                <c:pt idx="35">
                  <c:v>3.1609696022575111</c:v>
                </c:pt>
                <c:pt idx="36">
                  <c:v>3.3648592073558166</c:v>
                </c:pt>
                <c:pt idx="37">
                  <c:v>3.5752325675851915</c:v>
                </c:pt>
                <c:pt idx="38">
                  <c:v>3.792094300545013</c:v>
                </c:pt>
                <c:pt idx="39">
                  <c:v>4.0154490017849662</c:v>
                </c:pt>
                <c:pt idx="40">
                  <c:v>4.245268372254003</c:v>
                </c:pt>
                <c:pt idx="41">
                  <c:v>4.4815230598689961</c:v>
                </c:pt>
                <c:pt idx="42">
                  <c:v>4.7242155341504413</c:v>
                </c:pt>
                <c:pt idx="43">
                  <c:v>4.9733482628268959</c:v>
                </c:pt>
                <c:pt idx="44">
                  <c:v>5.2289237270389517</c:v>
                </c:pt>
                <c:pt idx="45">
                  <c:v>5.4909444197044968</c:v>
                </c:pt>
                <c:pt idx="46">
                  <c:v>5.7594139932198782</c:v>
                </c:pt>
                <c:pt idx="47">
                  <c:v>6.0343375462237931</c:v>
                </c:pt>
                <c:pt idx="48">
                  <c:v>6.315720474067315</c:v>
                </c:pt>
                <c:pt idx="49">
                  <c:v>6.6035681804072341</c:v>
                </c:pt>
                <c:pt idx="50">
                  <c:v>6.8978860760314129</c:v>
                </c:pt>
                <c:pt idx="51">
                  <c:v>7.1986795777479582</c:v>
                </c:pt>
                <c:pt idx="52">
                  <c:v>7.5059541073332108</c:v>
                </c:pt>
                <c:pt idx="53">
                  <c:v>7.8197150905340074</c:v>
                </c:pt>
                <c:pt idx="54">
                  <c:v>8.1399679561201346</c:v>
                </c:pt>
                <c:pt idx="55">
                  <c:v>8.4667181349832621</c:v>
                </c:pt>
                <c:pt idx="56">
                  <c:v>8.7999710592789864</c:v>
                </c:pt>
                <c:pt idx="57">
                  <c:v>9.1397321616089311</c:v>
                </c:pt>
                <c:pt idx="58">
                  <c:v>9.4860068742401058</c:v>
                </c:pt>
                <c:pt idx="59">
                  <c:v>9.8388006283589799</c:v>
                </c:pt>
                <c:pt idx="60">
                  <c:v>10.198118853357954</c:v>
                </c:pt>
                <c:pt idx="61">
                  <c:v>10.563966976152077</c:v>
                </c:pt>
                <c:pt idx="62">
                  <c:v>10.936350420524066</c:v>
                </c:pt>
                <c:pt idx="63">
                  <c:v>11.31527460649583</c:v>
                </c:pt>
                <c:pt idx="64">
                  <c:v>11.700744949724843</c:v>
                </c:pt>
                <c:pt idx="65">
                  <c:v>12.09276686092384</c:v>
                </c:pt>
                <c:pt idx="66">
                  <c:v>12.491345745302434</c:v>
                </c:pt>
                <c:pt idx="67">
                  <c:v>12.896487002029355</c:v>
                </c:pt>
                <c:pt idx="68">
                  <c:v>13.308196023714103</c:v>
                </c:pt>
                <c:pt idx="69">
                  <c:v>13.726495953160748</c:v>
                </c:pt>
                <c:pt idx="70">
                  <c:v>14.151435309654898</c:v>
                </c:pt>
                <c:pt idx="71">
                  <c:v>14.583070251808925</c:v>
                </c:pt>
                <c:pt idx="72">
                  <c:v>15.021456971123982</c:v>
                </c:pt>
                <c:pt idx="73">
                  <c:v>15.466651691976699</c:v>
                </c:pt>
                <c:pt idx="74">
                  <c:v>15.91871067159725</c:v>
                </c:pt>
                <c:pt idx="75">
                  <c:v>16.37769020003886</c:v>
                </c:pt>
                <c:pt idx="76">
                  <c:v>16.843646600138818</c:v>
                </c:pt>
                <c:pt idx="77">
                  <c:v>17.316603517890766</c:v>
                </c:pt>
                <c:pt idx="78">
                  <c:v>17.796537870571601</c:v>
                </c:pt>
                <c:pt idx="79">
                  <c:v>18.283412515329072</c:v>
                </c:pt>
                <c:pt idx="80">
                  <c:v>18.777190260060998</c:v>
                </c:pt>
                <c:pt idx="81">
                  <c:v>19.277833863478786</c:v>
                </c:pt>
                <c:pt idx="82">
                  <c:v>19.785306035198456</c:v>
                </c:pt>
                <c:pt idx="83">
                  <c:v>20.299569435857503</c:v>
                </c:pt>
                <c:pt idx="84">
                  <c:v>20.820586677256149</c:v>
                </c:pt>
                <c:pt idx="85">
                  <c:v>21.348320322521534</c:v>
                </c:pt>
                <c:pt idx="86">
                  <c:v>21.882737318809799</c:v>
                </c:pt>
                <c:pt idx="87">
                  <c:v>22.423826736940129</c:v>
                </c:pt>
                <c:pt idx="88">
                  <c:v>22.971595356504743</c:v>
                </c:pt>
                <c:pt idx="89">
                  <c:v>23.526049943819491</c:v>
                </c:pt>
                <c:pt idx="90">
                  <c:v>24.087197251647176</c:v>
                </c:pt>
                <c:pt idx="91">
                  <c:v>24.655044018926493</c:v>
                </c:pt>
                <c:pt idx="92">
                  <c:v>25.229596970506371</c:v>
                </c:pt>
                <c:pt idx="93">
                  <c:v>25.810862816885468</c:v>
                </c:pt>
                <c:pt idx="94">
                  <c:v>26.398848253956661</c:v>
                </c:pt>
                <c:pt idx="95">
                  <c:v>26.993559962756301</c:v>
                </c:pt>
                <c:pt idx="96">
                  <c:v>27.595004609218087</c:v>
                </c:pt>
                <c:pt idx="97">
                  <c:v>28.203188843931358</c:v>
                </c:pt>
                <c:pt idx="98">
                  <c:v>28.818119301903657</c:v>
                </c:pt>
                <c:pt idx="99">
                  <c:v>29.439802602327418</c:v>
                </c:pt>
                <c:pt idx="100">
                  <c:v>30.068245348350608</c:v>
                </c:pt>
                <c:pt idx="101">
                  <c:v>30.703454126851195</c:v>
                </c:pt>
                <c:pt idx="102">
                  <c:v>31.345435508215328</c:v>
                </c:pt>
                <c:pt idx="103">
                  <c:v>31.994196046119072</c:v>
                </c:pt>
                <c:pt idx="104">
                  <c:v>32.649742277313599</c:v>
                </c:pt>
                <c:pt idx="105">
                  <c:v>33.312080721413722</c:v>
                </c:pt>
                <c:pt idx="106">
                  <c:v>33.981217880689627</c:v>
                </c:pt>
                <c:pt idx="107">
                  <c:v>34.65716023986176</c:v>
                </c:pt>
                <c:pt idx="108">
                  <c:v>35.339914265898742</c:v>
                </c:pt>
                <c:pt idx="109">
                  <c:v>36.02948640781819</c:v>
                </c:pt>
                <c:pt idx="110">
                  <c:v>36.725883096490385</c:v>
                </c:pt>
                <c:pt idx="111">
                  <c:v>37.429110744444706</c:v>
                </c:pt>
                <c:pt idx="112">
                  <c:v>38.139175745678756</c:v>
                </c:pt>
                <c:pt idx="113">
                  <c:v>38.856084475470048</c:v>
                </c:pt>
                <c:pt idx="114">
                  <c:v>39.579843290190226</c:v>
                </c:pt>
                <c:pt idx="115">
                  <c:v>40.310458527121753</c:v>
                </c:pt>
                <c:pt idx="116">
                  <c:v>41.047936504276976</c:v>
                </c:pt>
                <c:pt idx="117">
                  <c:v>41.792283520219499</c:v>
                </c:pt>
                <c:pt idx="118">
                  <c:v>42.543505853887829</c:v>
                </c:pt>
                <c:pt idx="119">
                  <c:v>43.301609764421201</c:v>
                </c:pt>
                <c:pt idx="120">
                  <c:v>44.066601490987566</c:v>
                </c:pt>
                <c:pt idx="121">
                  <c:v>44.838487252613653</c:v>
                </c:pt>
                <c:pt idx="122">
                  <c:v>45.617273248017078</c:v>
                </c:pt>
                <c:pt idx="123">
                  <c:v>46.402965655440411</c:v>
                </c:pt>
                <c:pt idx="124">
                  <c:v>47.195570632487225</c:v>
                </c:pt>
                <c:pt idx="125">
                  <c:v>47.995094315959989</c:v>
                </c:pt>
                <c:pt idx="126">
                  <c:v>48.801542821699847</c:v>
                </c:pt>
                <c:pt idx="127">
                  <c:v>49.6149222444282</c:v>
                </c:pt>
                <c:pt idx="128">
                  <c:v>50.435238657590027</c:v>
                </c:pt>
                <c:pt idx="129">
                  <c:v>51.262498113198973</c:v>
                </c:pt>
                <c:pt idx="130">
                  <c:v>52.096706641684108</c:v>
                </c:pt>
                <c:pt idx="131">
                  <c:v>52.937870251738339</c:v>
                </c:pt>
                <c:pt idx="132">
                  <c:v>53.785994930168464</c:v>
                </c:pt>
                <c:pt idx="133">
                  <c:v>54.641086641746789</c:v>
                </c:pt>
                <c:pt idx="134">
                  <c:v>55.503151329064345</c:v>
                </c:pt>
                <c:pt idx="135">
                  <c:v>56.372194912385602</c:v>
                </c:pt>
                <c:pt idx="136">
                  <c:v>57.248223289504686</c:v>
                </c:pt>
                <c:pt idx="137">
                  <c:v>58.131242335603091</c:v>
                </c:pt>
                <c:pt idx="138">
                  <c:v>59.021257903108818</c:v>
                </c:pt>
                <c:pt idx="139">
                  <c:v>59.918275821556954</c:v>
                </c:pt>
                <c:pt idx="140">
                  <c:v>60.822301897451638</c:v>
                </c:pt>
                <c:pt idx="141">
                  <c:v>61.733341914129397</c:v>
                </c:pt>
                <c:pt idx="142">
                  <c:v>62.651401631623862</c:v>
                </c:pt>
                <c:pt idx="143">
                  <c:v>63.576486786531774</c:v>
                </c:pt>
                <c:pt idx="144">
                  <c:v>64.508603091880332</c:v>
                </c:pt>
                <c:pt idx="145">
                  <c:v>65.447756236995815</c:v>
                </c:pt>
                <c:pt idx="146">
                  <c:v>66.393951887373518</c:v>
                </c:pt>
                <c:pt idx="147">
                  <c:v>67.347195684548865</c:v>
                </c:pt>
                <c:pt idx="148">
                  <c:v>68.307493245969823</c:v>
                </c:pt>
                <c:pt idx="149">
                  <c:v>69.274850164870514</c:v>
                </c:pt>
                <c:pt idx="150">
                  <c:v>70.249272010146015</c:v>
                </c:pt>
                <c:pt idx="151">
                  <c:v>71.230764326228382</c:v>
                </c:pt>
                <c:pt idx="152">
                  <c:v>72.219332632963827</c:v>
                </c:pt>
                <c:pt idx="153">
                  <c:v>73.214982425491044</c:v>
                </c:pt>
                <c:pt idx="154">
                  <c:v>74.217719174120688</c:v>
                </c:pt>
                <c:pt idx="155">
                  <c:v>75.227548324216002</c:v>
                </c:pt>
                <c:pt idx="156">
                  <c:v>76.24447529607454</c:v>
                </c:pt>
                <c:pt idx="157">
                  <c:v>77.268505484811001</c:v>
                </c:pt>
                <c:pt idx="158">
                  <c:v>78.299644260241209</c:v>
                </c:pt>
                <c:pt idx="159">
                  <c:v>79.337896966767062</c:v>
                </c:pt>
                <c:pt idx="160">
                  <c:v>80.383268923262705</c:v>
                </c:pt>
                <c:pt idx="161">
                  <c:v>81.435765422961623</c:v>
                </c:pt>
                <c:pt idx="162">
                  <c:v>82.495391733344903</c:v>
                </c:pt>
                <c:pt idx="163">
                  <c:v>83.562153096030471</c:v>
                </c:pt>
                <c:pt idx="164">
                  <c:v>84.636054726663374</c:v>
                </c:pt>
                <c:pt idx="165">
                  <c:v>85.717101814807137</c:v>
                </c:pt>
                <c:pt idx="166">
                  <c:v>86.805299523836055</c:v>
                </c:pt>
                <c:pt idx="167">
                  <c:v>87.900652990828576</c:v>
                </c:pt>
                <c:pt idx="168">
                  <c:v>89.003167326461664</c:v>
                </c:pt>
                <c:pt idx="169">
                  <c:v>90.112847614906087</c:v>
                </c:pt>
                <c:pt idx="170">
                  <c:v>91.229698913722814</c:v>
                </c:pt>
                <c:pt idx="171">
                  <c:v>92.3537262537603</c:v>
                </c:pt>
                <c:pt idx="172">
                  <c:v>93.48493463905281</c:v>
                </c:pt>
                <c:pt idx="173">
                  <c:v>94.623329046719618</c:v>
                </c:pt>
                <c:pt idx="174">
                  <c:v>95.768914426865308</c:v>
                </c:pt>
                <c:pt idx="175">
                  <c:v>96.921695702480889</c:v>
                </c:pt>
                <c:pt idx="176">
                  <c:v>98.081677769345987</c:v>
                </c:pt>
                <c:pt idx="177">
                  <c:v>99.248865495931881</c:v>
                </c:pt>
                <c:pt idx="178">
                  <c:v>100.42326372330557</c:v>
                </c:pt>
                <c:pt idx="179">
                  <c:v>101.60487726503467</c:v>
                </c:pt>
                <c:pt idx="180">
                  <c:v>102.79371090709337</c:v>
                </c:pt>
                <c:pt idx="181">
                  <c:v>103.98976940776923</c:v>
                </c:pt>
                <c:pt idx="182">
                  <c:v>105.1930574975709</c:v>
                </c:pt>
                <c:pt idx="183">
                  <c:v>106.40357987913686</c:v>
                </c:pt>
                <c:pt idx="184">
                  <c:v>107.6213412271449</c:v>
                </c:pt>
                <c:pt idx="185">
                  <c:v>108.8463461882227</c:v>
                </c:pt>
                <c:pt idx="186">
                  <c:v>110.07859938085919</c:v>
                </c:pt>
                <c:pt idx="187">
                  <c:v>111.31810539531691</c:v>
                </c:pt>
                <c:pt idx="188">
                  <c:v>112.56486879354514</c:v>
                </c:pt>
                <c:pt idx="189">
                  <c:v>113.81889410909413</c:v>
                </c:pt>
                <c:pt idx="190">
                  <c:v>115.08018584703002</c:v>
                </c:pt>
                <c:pt idx="191">
                  <c:v>116.34874848385078</c:v>
                </c:pt>
                <c:pt idx="192">
                  <c:v>117.62458646740303</c:v>
                </c:pt>
                <c:pt idx="193">
                  <c:v>118.90770421679971</c:v>
                </c:pt>
                <c:pt idx="194">
                  <c:v>120.19810612233867</c:v>
                </c:pt>
                <c:pt idx="195">
                  <c:v>121.49579654542211</c:v>
                </c:pt>
                <c:pt idx="196">
                  <c:v>122.80077981847698</c:v>
                </c:pt>
                <c:pt idx="197">
                  <c:v>124.11306024487618</c:v>
                </c:pt>
                <c:pt idx="198">
                  <c:v>125.43264209886067</c:v>
                </c:pt>
                <c:pt idx="199">
                  <c:v>126.75952962546245</c:v>
                </c:pt>
                <c:pt idx="200">
                  <c:v>128.09372704042849</c:v>
                </c:pt>
                <c:pt idx="201">
                  <c:v>129.43523853014537</c:v>
                </c:pt>
                <c:pt idx="202">
                  <c:v>130.784068251565</c:v>
                </c:pt>
                <c:pt idx="203">
                  <c:v>132.14022033213104</c:v>
                </c:pt>
                <c:pt idx="204">
                  <c:v>133.50369886970631</c:v>
                </c:pt>
                <c:pt idx="205">
                  <c:v>134.87450793250099</c:v>
                </c:pt>
                <c:pt idx="206">
                  <c:v>136.25265155900172</c:v>
                </c:pt>
                <c:pt idx="207">
                  <c:v>137.63813375790161</c:v>
                </c:pt>
                <c:pt idx="208">
                  <c:v>139.03095850803103</c:v>
                </c:pt>
                <c:pt idx="209">
                  <c:v>140.43112975828936</c:v>
                </c:pt>
                <c:pt idx="210">
                  <c:v>141.8386514275775</c:v>
                </c:pt>
                <c:pt idx="211">
                  <c:v>143.25352740473141</c:v>
                </c:pt>
                <c:pt idx="212">
                  <c:v>144.67576154845631</c:v>
                </c:pt>
                <c:pt idx="213">
                  <c:v>146.10535768726186</c:v>
                </c:pt>
                <c:pt idx="214">
                  <c:v>147.54231961939826</c:v>
                </c:pt>
                <c:pt idx="215">
                  <c:v>148.98665111279308</c:v>
                </c:pt>
                <c:pt idx="216">
                  <c:v>150.43835590498904</c:v>
                </c:pt>
                <c:pt idx="217">
                  <c:v>151.89743770308257</c:v>
                </c:pt>
                <c:pt idx="218">
                  <c:v>153.36390018366342</c:v>
                </c:pt>
                <c:pt idx="219">
                  <c:v>154.83774699275489</c:v>
                </c:pt>
                <c:pt idx="220">
                  <c:v>156.31898174575505</c:v>
                </c:pt>
                <c:pt idx="221">
                  <c:v>157.80760802737888</c:v>
                </c:pt>
                <c:pt idx="222">
                  <c:v>159.30362939160105</c:v>
                </c:pt>
                <c:pt idx="223">
                  <c:v>160.80704936159989</c:v>
                </c:pt>
                <c:pt idx="224">
                  <c:v>162.31787142970188</c:v>
                </c:pt>
                <c:pt idx="225">
                  <c:v>163.83609905732729</c:v>
                </c:pt>
                <c:pt idx="226">
                  <c:v>165.36173567493643</c:v>
                </c:pt>
                <c:pt idx="227">
                  <c:v>166.89478468197697</c:v>
                </c:pt>
                <c:pt idx="228">
                  <c:v>168.43524944683202</c:v>
                </c:pt>
                <c:pt idx="229">
                  <c:v>169.98313330676905</c:v>
                </c:pt>
                <c:pt idx="230">
                  <c:v>171.53843956788972</c:v>
                </c:pt>
                <c:pt idx="231">
                  <c:v>173.1011715050806</c:v>
                </c:pt>
                <c:pt idx="232">
                  <c:v>174.67133236196466</c:v>
                </c:pt>
                <c:pt idx="233">
                  <c:v>176.24892535085368</c:v>
                </c:pt>
                <c:pt idx="234">
                  <c:v>177.83395365270155</c:v>
                </c:pt>
                <c:pt idx="235">
                  <c:v>179.42642041705832</c:v>
                </c:pt>
                <c:pt idx="236">
                  <c:v>181.02632876202529</c:v>
                </c:pt>
                <c:pt idx="237">
                  <c:v>182.63368177421074</c:v>
                </c:pt>
                <c:pt idx="238">
                  <c:v>184.24848250868678</c:v>
                </c:pt>
                <c:pt idx="239">
                  <c:v>185.8707339889468</c:v>
                </c:pt>
                <c:pt idx="240">
                  <c:v>187.50043920686397</c:v>
                </c:pt>
                <c:pt idx="241">
                  <c:v>189.13760112265055</c:v>
                </c:pt>
                <c:pt idx="242">
                  <c:v>190.78222266481805</c:v>
                </c:pt>
                <c:pt idx="243">
                  <c:v>192.43430673013827</c:v>
                </c:pt>
                <c:pt idx="244">
                  <c:v>194.0938743296189</c:v>
                </c:pt>
                <c:pt idx="245">
                  <c:v>195.76096459640894</c:v>
                </c:pt>
                <c:pt idx="246">
                  <c:v>197.43561664759437</c:v>
                </c:pt>
                <c:pt idx="247">
                  <c:v>199.11786958396672</c:v>
                </c:pt>
                <c:pt idx="248">
                  <c:v>200.80776248978884</c:v>
                </c:pt>
                <c:pt idx="249">
                  <c:v>202.50533443255796</c:v>
                </c:pt>
                <c:pt idx="250">
                  <c:v>204.21062446276582</c:v>
                </c:pt>
                <c:pt idx="251">
                  <c:v>205.92367161365613</c:v>
                </c:pt>
                <c:pt idx="252">
                  <c:v>207.64451490097915</c:v>
                </c:pt>
                <c:pt idx="253">
                  <c:v>209.3731832852506</c:v>
                </c:pt>
                <c:pt idx="254">
                  <c:v>211.10968562359071</c:v>
                </c:pt>
                <c:pt idx="255">
                  <c:v>212.85402069765519</c:v>
                </c:pt>
                <c:pt idx="256">
                  <c:v>214.6061872521197</c:v>
                </c:pt>
                <c:pt idx="257">
                  <c:v>216.36618399470018</c:v>
                </c:pt>
                <c:pt idx="258">
                  <c:v>218.13400959617448</c:v>
                </c:pt>
                <c:pt idx="259">
                  <c:v>219.90966269040521</c:v>
                </c:pt>
                <c:pt idx="260">
                  <c:v>221.69314187436356</c:v>
                </c:pt>
                <c:pt idx="261">
                  <c:v>223.48444570815437</c:v>
                </c:pt>
                <c:pt idx="262">
                  <c:v>225.28357271504234</c:v>
                </c:pt>
                <c:pt idx="263">
                  <c:v>227.09052138147933</c:v>
                </c:pt>
                <c:pt idx="264">
                  <c:v>228.90529015713281</c:v>
                </c:pt>
                <c:pt idx="265">
                  <c:v>230.72787745491542</c:v>
                </c:pt>
                <c:pt idx="266">
                  <c:v>232.55828165101565</c:v>
                </c:pt>
                <c:pt idx="267">
                  <c:v>234.3965010849297</c:v>
                </c:pt>
                <c:pt idx="268">
                  <c:v>236.24253405949432</c:v>
                </c:pt>
                <c:pt idx="269">
                  <c:v>238.09637884092092</c:v>
                </c:pt>
                <c:pt idx="270">
                  <c:v>239.95803365883069</c:v>
                </c:pt>
                <c:pt idx="271">
                  <c:v>241.82749670629079</c:v>
                </c:pt>
                <c:pt idx="272">
                  <c:v>243.70476613985181</c:v>
                </c:pt>
                <c:pt idx="273">
                  <c:v>245.58984007958608</c:v>
                </c:pt>
                <c:pt idx="274">
                  <c:v>247.48271660912732</c:v>
                </c:pt>
                <c:pt idx="275">
                  <c:v>249.38339377571117</c:v>
                </c:pt>
                <c:pt idx="276">
                  <c:v>251.29186959021695</c:v>
                </c:pt>
                <c:pt idx="277">
                  <c:v>253.20814153835099</c:v>
                </c:pt>
                <c:pt idx="278">
                  <c:v>255.13220584680195</c:v>
                </c:pt>
                <c:pt idx="279">
                  <c:v>257.06405797173414</c:v>
                </c:pt>
                <c:pt idx="280">
                  <c:v>259.0036933323297</c:v>
                </c:pt>
                <c:pt idx="281">
                  <c:v>260.95110731087317</c:v>
                </c:pt>
                <c:pt idx="282">
                  <c:v>262.90629525283737</c:v>
                </c:pt>
                <c:pt idx="283">
                  <c:v>264.86925246697018</c:v>
                </c:pt>
                <c:pt idx="284">
                  <c:v>266.83997422538255</c:v>
                </c:pt>
                <c:pt idx="285">
                  <c:v>268.81845576363742</c:v>
                </c:pt>
                <c:pt idx="286">
                  <c:v>270.80469228083984</c:v>
                </c:pt>
                <c:pt idx="287">
                  <c:v>272.79867893972812</c:v>
                </c:pt>
                <c:pt idx="288">
                  <c:v>274.80041086676601</c:v>
                </c:pt>
                <c:pt idx="289">
                  <c:v>276.80988315223601</c:v>
                </c:pt>
                <c:pt idx="290">
                  <c:v>278.82709085033372</c:v>
                </c:pt>
                <c:pt idx="291">
                  <c:v>280.85202897926303</c:v>
                </c:pt>
                <c:pt idx="292">
                  <c:v>282.88469252133262</c:v>
                </c:pt>
                <c:pt idx="293">
                  <c:v>284.92507642305338</c:v>
                </c:pt>
                <c:pt idx="294">
                  <c:v>286.97317559523674</c:v>
                </c:pt>
                <c:pt idx="295">
                  <c:v>289.02898491309418</c:v>
                </c:pt>
                <c:pt idx="296">
                  <c:v>291.09249921633767</c:v>
                </c:pt>
                <c:pt idx="297">
                  <c:v>293.16371330928121</c:v>
                </c:pt>
                <c:pt idx="298">
                  <c:v>295.24262196094304</c:v>
                </c:pt>
                <c:pt idx="299">
                  <c:v>297.32921990514927</c:v>
                </c:pt>
                <c:pt idx="300">
                  <c:v>299.42350184063832</c:v>
                </c:pt>
                <c:pt idx="301">
                  <c:v>301.52546243116609</c:v>
                </c:pt>
                <c:pt idx="302">
                  <c:v>303.63509630561259</c:v>
                </c:pt>
                <c:pt idx="303">
                  <c:v>305.75239805808911</c:v>
                </c:pt>
                <c:pt idx="304">
                  <c:v>307.8773622480465</c:v>
                </c:pt>
                <c:pt idx="305">
                  <c:v>310.00998340038433</c:v>
                </c:pt>
                <c:pt idx="306">
                  <c:v>312.15025600556129</c:v>
                </c:pt>
                <c:pt idx="307">
                  <c:v>314.29817451970604</c:v>
                </c:pt>
                <c:pt idx="308">
                  <c:v>316.45373336472932</c:v>
                </c:pt>
                <c:pt idx="309">
                  <c:v>318.61692692843701</c:v>
                </c:pt>
                <c:pt idx="310">
                  <c:v>320.78774956464389</c:v>
                </c:pt>
                <c:pt idx="311">
                  <c:v>322.96619559328838</c:v>
                </c:pt>
                <c:pt idx="312">
                  <c:v>325.15225930054828</c:v>
                </c:pt>
                <c:pt idx="313">
                  <c:v>327.34593493895738</c:v>
                </c:pt>
                <c:pt idx="314">
                  <c:v>329.54721672752288</c:v>
                </c:pt>
                <c:pt idx="315">
                  <c:v>331.7560988518436</c:v>
                </c:pt>
                <c:pt idx="316">
                  <c:v>333.97257546422952</c:v>
                </c:pt>
                <c:pt idx="317">
                  <c:v>336.1966406838215</c:v>
                </c:pt>
                <c:pt idx="318">
                  <c:v>338.42828859671243</c:v>
                </c:pt>
                <c:pt idx="319">
                  <c:v>340.66751325606907</c:v>
                </c:pt>
                <c:pt idx="320">
                  <c:v>342.91430868225456</c:v>
                </c:pt>
                <c:pt idx="321">
                  <c:v>345.1686688629519</c:v>
                </c:pt>
                <c:pt idx="322">
                  <c:v>347.43058775328842</c:v>
                </c:pt>
                <c:pt idx="323">
                  <c:v>349.70005927596083</c:v>
                </c:pt>
                <c:pt idx="324">
                  <c:v>351.97707732136115</c:v>
                </c:pt>
                <c:pt idx="325">
                  <c:v>354.26163574770351</c:v>
                </c:pt>
                <c:pt idx="326">
                  <c:v>356.55372838115181</c:v>
                </c:pt>
                <c:pt idx="327">
                  <c:v>358.85334901594808</c:v>
                </c:pt>
                <c:pt idx="328">
                  <c:v>361.16049141454153</c:v>
                </c:pt>
                <c:pt idx="329">
                  <c:v>363.4751493077186</c:v>
                </c:pt>
                <c:pt idx="330">
                  <c:v>365.79731639473368</c:v>
                </c:pt>
                <c:pt idx="331">
                  <c:v>368.12698634344076</c:v>
                </c:pt>
                <c:pt idx="332">
                  <c:v>370.46415279042537</c:v>
                </c:pt>
                <c:pt idx="333">
                  <c:v>372.80880934113793</c:v>
                </c:pt>
                <c:pt idx="334">
                  <c:v>375.16094957002736</c:v>
                </c:pt>
                <c:pt idx="335">
                  <c:v>377.52056702067557</c:v>
                </c:pt>
                <c:pt idx="336">
                  <c:v>379.88765520593284</c:v>
                </c:pt>
                <c:pt idx="337">
                  <c:v>382.2622076080537</c:v>
                </c:pt>
                <c:pt idx="338">
                  <c:v>384.64421767883363</c:v>
                </c:pt>
                <c:pt idx="339">
                  <c:v>387.03367883974653</c:v>
                </c:pt>
                <c:pt idx="340">
                  <c:v>389.43058448208274</c:v>
                </c:pt>
                <c:pt idx="341">
                  <c:v>391.83492796708799</c:v>
                </c:pt>
                <c:pt idx="342">
                  <c:v>394.24670262610277</c:v>
                </c:pt>
                <c:pt idx="343">
                  <c:v>396.66590176070264</c:v>
                </c:pt>
                <c:pt idx="344">
                  <c:v>399.09251905555942</c:v>
                </c:pt>
                <c:pt idx="345">
                  <c:v>401.52655229540341</c:v>
                </c:pt>
                <c:pt idx="346">
                  <c:v>403.9680029523476</c:v>
                </c:pt>
                <c:pt idx="347">
                  <c:v>406.41687246905366</c:v>
                </c:pt>
                <c:pt idx="348">
                  <c:v>408.87316225875742</c:v>
                </c:pt>
                <c:pt idx="349">
                  <c:v>411.33687370529537</c:v>
                </c:pt>
                <c:pt idx="350">
                  <c:v>413.8080081631316</c:v>
                </c:pt>
                <c:pt idx="351">
                  <c:v>416.28656695738573</c:v>
                </c:pt>
                <c:pt idx="352">
                  <c:v>418.77255138386136</c:v>
                </c:pt>
                <c:pt idx="353">
                  <c:v>421.2659627090755</c:v>
                </c:pt>
                <c:pt idx="354">
                  <c:v>423.76680217028837</c:v>
                </c:pt>
                <c:pt idx="355">
                  <c:v>426.27507097553433</c:v>
                </c:pt>
                <c:pt idx="356">
                  <c:v>428.79077030365323</c:v>
                </c:pt>
                <c:pt idx="357">
                  <c:v>431.31390130432266</c:v>
                </c:pt>
                <c:pt idx="358">
                  <c:v>433.84446509809072</c:v>
                </c:pt>
                <c:pt idx="359">
                  <c:v>436.38246277640991</c:v>
                </c:pt>
                <c:pt idx="360">
                  <c:v>438.92789540167132</c:v>
                </c:pt>
                <c:pt idx="361">
                  <c:v>441.48076400723971</c:v>
                </c:pt>
                <c:pt idx="362">
                  <c:v>444.04106959748941</c:v>
                </c:pt>
                <c:pt idx="363">
                  <c:v>446.60881314784081</c:v>
                </c:pt>
                <c:pt idx="364">
                  <c:v>449.18399560479753</c:v>
                </c:pt>
                <c:pt idx="365">
                  <c:v>451.76661788598454</c:v>
                </c:pt>
                <c:pt idx="366">
                  <c:v>454.35668088018673</c:v>
                </c:pt>
                <c:pt idx="367">
                  <c:v>456.95418544738828</c:v>
                </c:pt>
                <c:pt idx="368">
                  <c:v>459.55913241881296</c:v>
                </c:pt>
                <c:pt idx="369">
                  <c:v>462.17152259696473</c:v>
                </c:pt>
                <c:pt idx="370">
                  <c:v>464.79135675566948</c:v>
                </c:pt>
                <c:pt idx="371">
                  <c:v>467.41863564011715</c:v>
                </c:pt>
                <c:pt idx="372">
                  <c:v>470.05335996690474</c:v>
                </c:pt>
                <c:pt idx="373">
                  <c:v>472.69552771837709</c:v>
                </c:pt>
                <c:pt idx="374">
                  <c:v>475.34513414303802</c:v>
                </c:pt>
                <c:pt idx="375">
                  <c:v>478.00217446170257</c:v>
                </c:pt>
                <c:pt idx="376">
                  <c:v>480.66664386761801</c:v>
                </c:pt>
                <c:pt idx="377">
                  <c:v>483.33853752658592</c:v>
                </c:pt>
                <c:pt idx="378">
                  <c:v>486.01785057708435</c:v>
                </c:pt>
                <c:pt idx="379">
                  <c:v>488.70457813039098</c:v>
                </c:pt>
                <c:pt idx="380">
                  <c:v>491.39871527070659</c:v>
                </c:pt>
                <c:pt idx="381">
                  <c:v>494.10025705527931</c:v>
                </c:pt>
                <c:pt idx="382">
                  <c:v>496.80919851452944</c:v>
                </c:pt>
                <c:pt idx="383">
                  <c:v>499.52553465217483</c:v>
                </c:pt>
                <c:pt idx="384">
                  <c:v>502.24926044535664</c:v>
                </c:pt>
                <c:pt idx="385">
                  <c:v>504.98037084476618</c:v>
                </c:pt>
                <c:pt idx="386">
                  <c:v>507.71886077477166</c:v>
                </c:pt>
                <c:pt idx="387">
                  <c:v>510.46472513354604</c:v>
                </c:pt>
                <c:pt idx="388">
                  <c:v>513.21795879319507</c:v>
                </c:pt>
                <c:pt idx="389">
                  <c:v>515.97855659988625</c:v>
                </c:pt>
                <c:pt idx="390">
                  <c:v>518.7465133739779</c:v>
                </c:pt>
                <c:pt idx="391">
                  <c:v>521.52182391014901</c:v>
                </c:pt>
                <c:pt idx="392">
                  <c:v>524.30448297752969</c:v>
                </c:pt>
                <c:pt idx="393">
                  <c:v>527.09448531983196</c:v>
                </c:pt>
                <c:pt idx="394">
                  <c:v>529.89182565548128</c:v>
                </c:pt>
                <c:pt idx="395">
                  <c:v>532.6964986777482</c:v>
                </c:pt>
                <c:pt idx="396">
                  <c:v>535.50849905488099</c:v>
                </c:pt>
                <c:pt idx="397">
                  <c:v>538.3278214302386</c:v>
                </c:pt>
                <c:pt idx="398">
                  <c:v>541.15446042242388</c:v>
                </c:pt>
                <c:pt idx="399">
                  <c:v>543.9884106254176</c:v>
                </c:pt>
                <c:pt idx="400">
                  <c:v>546.82966660871284</c:v>
                </c:pt>
                <c:pt idx="401">
                  <c:v>549.67822291744983</c:v>
                </c:pt>
                <c:pt idx="402">
                  <c:v>552.53407407255133</c:v>
                </c:pt>
                <c:pt idx="403">
                  <c:v>555.39721457085841</c:v>
                </c:pt>
                <c:pt idx="404">
                  <c:v>558.26763888526659</c:v>
                </c:pt>
                <c:pt idx="405">
                  <c:v>561.1453414648629</c:v>
                </c:pt>
                <c:pt idx="406">
                  <c:v>564.0303167350628</c:v>
                </c:pt>
                <c:pt idx="407">
                  <c:v>566.92255909774769</c:v>
                </c:pt>
                <c:pt idx="408">
                  <c:v>569.82206293140325</c:v>
                </c:pt>
                <c:pt idx="409">
                  <c:v>572.72881953016315</c:v>
                </c:pt>
                <c:pt idx="410">
                  <c:v>575.6428163391414</c:v>
                </c:pt>
                <c:pt idx="411">
                  <c:v>578.56404001697092</c:v>
                </c:pt>
                <c:pt idx="412">
                  <c:v>581.49247720211542</c:v>
                </c:pt>
                <c:pt idx="413">
                  <c:v>584.42811451313173</c:v>
                </c:pt>
                <c:pt idx="414">
                  <c:v>587.3709385489326</c:v>
                </c:pt>
                <c:pt idx="415">
                  <c:v>590.32093588904911</c:v>
                </c:pt>
                <c:pt idx="416">
                  <c:v>593.27809309389295</c:v>
                </c:pt>
                <c:pt idx="417">
                  <c:v>596.24239670501879</c:v>
                </c:pt>
                <c:pt idx="418">
                  <c:v>599.21383324538624</c:v>
                </c:pt>
                <c:pt idx="419">
                  <c:v>602.19238921962199</c:v>
                </c:pt>
                <c:pt idx="420">
                  <c:v>605.17805111428163</c:v>
                </c:pt>
                <c:pt idx="421">
                  <c:v>608.1708053981115</c:v>
                </c:pt>
                <c:pt idx="422">
                  <c:v>611.17063852231001</c:v>
                </c:pt>
                <c:pt idx="423">
                  <c:v>614.17753692078929</c:v>
                </c:pt>
                <c:pt idx="424">
                  <c:v>617.19148701043616</c:v>
                </c:pt>
                <c:pt idx="425">
                  <c:v>620.21247519137319</c:v>
                </c:pt>
                <c:pt idx="426">
                  <c:v>623.24048784721958</c:v>
                </c:pt>
                <c:pt idx="427">
                  <c:v>626.27551134535156</c:v>
                </c:pt>
                <c:pt idx="428">
                  <c:v>629.31753203716289</c:v>
                </c:pt>
                <c:pt idx="429">
                  <c:v>632.36653625832491</c:v>
                </c:pt>
                <c:pt idx="430">
                  <c:v>635.42251032904619</c:v>
                </c:pt>
                <c:pt idx="431">
                  <c:v>638.48544055433229</c:v>
                </c:pt>
                <c:pt idx="432">
                  <c:v>641.55531322424508</c:v>
                </c:pt>
                <c:pt idx="433">
                  <c:v>644.63211461416165</c:v>
                </c:pt>
                <c:pt idx="434">
                  <c:v>647.71583098503299</c:v>
                </c:pt>
                <c:pt idx="435">
                  <c:v>650.80644858364246</c:v>
                </c:pt>
                <c:pt idx="436">
                  <c:v>653.90395364286383</c:v>
                </c:pt>
                <c:pt idx="437">
                  <c:v>657.00833238191899</c:v>
                </c:pt>
                <c:pt idx="438">
                  <c:v>660.1195710066354</c:v>
                </c:pt>
                <c:pt idx="439">
                  <c:v>663.23765570970318</c:v>
                </c:pt>
                <c:pt idx="440">
                  <c:v>666.36257267093174</c:v>
                </c:pt>
                <c:pt idx="441">
                  <c:v>669.49430805750615</c:v>
                </c:pt>
                <c:pt idx="442">
                  <c:v>672.63284802424289</c:v>
                </c:pt>
                <c:pt idx="443">
                  <c:v>675.77817871384559</c:v>
                </c:pt>
                <c:pt idx="444">
                  <c:v>678.93028625716022</c:v>
                </c:pt>
                <c:pt idx="445">
                  <c:v>682.08915677342952</c:v>
                </c:pt>
                <c:pt idx="446">
                  <c:v>685.25477637054757</c:v>
                </c:pt>
                <c:pt idx="447">
                  <c:v>688.42713114531364</c:v>
                </c:pt>
                <c:pt idx="448">
                  <c:v>691.60620718368534</c:v>
                </c:pt>
                <c:pt idx="449">
                  <c:v>694.79199056103187</c:v>
                </c:pt>
                <c:pt idx="450">
                  <c:v>697.98446734238644</c:v>
                </c:pt>
                <c:pt idx="451">
                  <c:v>701.18362358269826</c:v>
                </c:pt>
                <c:pt idx="452">
                  <c:v>704.38944532708422</c:v>
                </c:pt>
                <c:pt idx="453">
                  <c:v>707.60191861107967</c:v>
                </c:pt>
                <c:pt idx="454">
                  <c:v>710.82102946088935</c:v>
                </c:pt>
                <c:pt idx="455">
                  <c:v>714.04676389363703</c:v>
                </c:pt>
                <c:pt idx="456">
                  <c:v>717.27910791761542</c:v>
                </c:pt>
                <c:pt idx="457">
                  <c:v>720.51804753253498</c:v>
                </c:pt>
                <c:pt idx="458">
                  <c:v>723.76356872977237</c:v>
                </c:pt>
                <c:pt idx="459">
                  <c:v>727.01565749261829</c:v>
                </c:pt>
                <c:pt idx="460">
                  <c:v>730.27429979652504</c:v>
                </c:pt>
                <c:pt idx="461">
                  <c:v>733.53948160935317</c:v>
                </c:pt>
                <c:pt idx="462">
                  <c:v>736.81118889161769</c:v>
                </c:pt>
                <c:pt idx="463">
                  <c:v>740.08940759673385</c:v>
                </c:pt>
                <c:pt idx="464">
                  <c:v>743.37412367126205</c:v>
                </c:pt>
                <c:pt idx="465">
                  <c:v>746.66532305515216</c:v>
                </c:pt>
                <c:pt idx="466">
                  <c:v>749.96299168198766</c:v>
                </c:pt>
                <c:pt idx="467">
                  <c:v>753.26711547922866</c:v>
                </c:pt>
                <c:pt idx="468">
                  <c:v>756.57768036845459</c:v>
                </c:pt>
                <c:pt idx="469">
                  <c:v>759.89467226560612</c:v>
                </c:pt>
                <c:pt idx="470">
                  <c:v>763.21807708122628</c:v>
                </c:pt>
                <c:pt idx="471">
                  <c:v>766.54788072070153</c:v>
                </c:pt>
                <c:pt idx="472">
                  <c:v>769.88406908450156</c:v>
                </c:pt>
                <c:pt idx="473">
                  <c:v>773.22662806841856</c:v>
                </c:pt>
                <c:pt idx="474">
                  <c:v>776.57554356380604</c:v>
                </c:pt>
                <c:pt idx="475">
                  <c:v>779.93080145781676</c:v>
                </c:pt>
                <c:pt idx="476">
                  <c:v>783.29238763364003</c:v>
                </c:pt>
                <c:pt idx="477">
                  <c:v>786.6602879707383</c:v>
                </c:pt>
                <c:pt idx="478">
                  <c:v>790.03448834508322</c:v>
                </c:pt>
                <c:pt idx="479">
                  <c:v>793.4149746293906</c:v>
                </c:pt>
                <c:pt idx="480">
                  <c:v>796.80173269335512</c:v>
                </c:pt>
                <c:pt idx="481">
                  <c:v>800.19474840388386</c:v>
                </c:pt>
                <c:pt idx="482">
                  <c:v>803.59400762532948</c:v>
                </c:pt>
                <c:pt idx="483">
                  <c:v>806.99949621972257</c:v>
                </c:pt>
                <c:pt idx="484">
                  <c:v>810.41120004700292</c:v>
                </c:pt>
                <c:pt idx="485">
                  <c:v>813.82910496525051</c:v>
                </c:pt>
                <c:pt idx="486">
                  <c:v>817.2531968309155</c:v>
                </c:pt>
                <c:pt idx="487">
                  <c:v>820.68346149904744</c:v>
                </c:pt>
                <c:pt idx="488">
                  <c:v>824.11988482352376</c:v>
                </c:pt>
                <c:pt idx="489">
                  <c:v>827.5624526572775</c:v>
                </c:pt>
                <c:pt idx="490">
                  <c:v>831.01115085252411</c:v>
                </c:pt>
                <c:pt idx="491">
                  <c:v>834.46596526098767</c:v>
                </c:pt>
                <c:pt idx="492">
                  <c:v>837.92688173412637</c:v>
                </c:pt>
                <c:pt idx="493">
                  <c:v>841.39388612335665</c:v>
                </c:pt>
                <c:pt idx="494">
                  <c:v>844.86696428027733</c:v>
                </c:pt>
                <c:pt idx="495">
                  <c:v>848.34610205689194</c:v>
                </c:pt>
                <c:pt idx="496">
                  <c:v>851.83128530583144</c:v>
                </c:pt>
                <c:pt idx="497">
                  <c:v>855.32249889427737</c:v>
                </c:pt>
                <c:pt idx="498">
                  <c:v>858.81972571805409</c:v>
                </c:pt>
                <c:pt idx="499">
                  <c:v>862.32294768994632</c:v>
                </c:pt>
                <c:pt idx="500">
                  <c:v>865.83214672787699</c:v>
                </c:pt>
                <c:pt idx="501">
                  <c:v>869.3473047551829</c:v>
                </c:pt>
                <c:pt idx="502">
                  <c:v>872.86840370088896</c:v>
                </c:pt>
                <c:pt idx="503">
                  <c:v>876.39542549998146</c:v>
                </c:pt>
                <c:pt idx="504">
                  <c:v>879.92835209367956</c:v>
                </c:pt>
                <c:pt idx="505">
                  <c:v>883.46716542970603</c:v>
                </c:pt>
                <c:pt idx="506">
                  <c:v>887.01184746255592</c:v>
                </c:pt>
                <c:pt idx="507">
                  <c:v>890.56238015376402</c:v>
                </c:pt>
                <c:pt idx="508">
                  <c:v>894.11874547217155</c:v>
                </c:pt>
                <c:pt idx="509">
                  <c:v>897.68092539419058</c:v>
                </c:pt>
                <c:pt idx="510">
                  <c:v>901.24890190406768</c:v>
                </c:pt>
                <c:pt idx="511">
                  <c:v>904.82265699414586</c:v>
                </c:pt>
                <c:pt idx="512">
                  <c:v>908.40217266512525</c:v>
                </c:pt>
                <c:pt idx="513">
                  <c:v>911.9874309263223</c:v>
                </c:pt>
                <c:pt idx="514">
                  <c:v>915.57841379592753</c:v>
                </c:pt>
                <c:pt idx="515">
                  <c:v>919.1751033012622</c:v>
                </c:pt>
                <c:pt idx="516">
                  <c:v>922.77748147903287</c:v>
                </c:pt>
                <c:pt idx="517">
                  <c:v>926.38553037558529</c:v>
                </c:pt>
                <c:pt idx="518">
                  <c:v>929.99923204715628</c:v>
                </c:pt>
                <c:pt idx="519">
                  <c:v>933.61856856012434</c:v>
                </c:pt>
                <c:pt idx="520">
                  <c:v>937.24352199125929</c:v>
                </c:pt>
                <c:pt idx="521">
                  <c:v>940.87407442796939</c:v>
                </c:pt>
                <c:pt idx="522">
                  <c:v>944.51020796854823</c:v>
                </c:pt>
                <c:pt idx="523">
                  <c:v>948.15190472241943</c:v>
                </c:pt>
                <c:pt idx="524">
                  <c:v>951.79914681037974</c:v>
                </c:pt>
                <c:pt idx="525">
                  <c:v>955.45191636484151</c:v>
                </c:pt>
                <c:pt idx="526">
                  <c:v>959.1101955300727</c:v>
                </c:pt>
                <c:pt idx="527">
                  <c:v>962.77396646243608</c:v>
                </c:pt>
                <c:pt idx="528">
                  <c:v>966.44321133062681</c:v>
                </c:pt>
                <c:pt idx="529">
                  <c:v>970.11791231590848</c:v>
                </c:pt>
                <c:pt idx="530">
                  <c:v>973.79805161234765</c:v>
                </c:pt>
                <c:pt idx="531">
                  <c:v>977.48361142704675</c:v>
                </c:pt>
                <c:pt idx="532">
                  <c:v>981.17457398037595</c:v>
                </c:pt>
                <c:pt idx="533">
                  <c:v>984.8709215062031</c:v>
                </c:pt>
                <c:pt idx="534">
                  <c:v>988.57263625212261</c:v>
                </c:pt>
                <c:pt idx="535">
                  <c:v>992.27970047968222</c:v>
                </c:pt>
                <c:pt idx="536">
                  <c:v>995.99209646460884</c:v>
                </c:pt>
                <c:pt idx="537">
                  <c:v>999.70980649703267</c:v>
                </c:pt>
                <c:pt idx="538">
                  <c:v>1003.4328128817098</c:v>
                </c:pt>
                <c:pt idx="539">
                  <c:v>1007.1610979382432</c:v>
                </c:pt>
                <c:pt idx="540">
                  <c:v>1010.8946440013026</c:v>
                </c:pt>
                <c:pt idx="541">
                  <c:v>1014.6334334208424</c:v>
                </c:pt>
                <c:pt idx="542">
                  <c:v>1018.3774485623182</c:v>
                </c:pt>
                <c:pt idx="543">
                  <c:v>1022.1266718069024</c:v>
                </c:pt>
                <c:pt idx="544">
                  <c:v>1025.881085551697</c:v>
                </c:pt>
                <c:pt idx="545">
                  <c:v>1029.6406722099459</c:v>
                </c:pt>
                <c:pt idx="546">
                  <c:v>1033.4054142112461</c:v>
                </c:pt>
                <c:pt idx="547">
                  <c:v>1037.1752940017561</c:v>
                </c:pt>
                <c:pt idx="548">
                  <c:v>1040.9502940444031</c:v>
                </c:pt>
                <c:pt idx="549">
                  <c:v>1044.7303968190897</c:v>
                </c:pt>
                <c:pt idx="550">
                  <c:v>1048.5155841551907</c:v>
                </c:pt>
                <c:pt idx="551">
                  <c:v>1052.3058356734639</c:v>
                </c:pt>
                <c:pt idx="552">
                  <c:v>1056.101129456782</c:v>
                </c:pt>
                <c:pt idx="553">
                  <c:v>1059.901443611476</c:v>
                </c:pt>
                <c:pt idx="554">
                  <c:v>1063.7067562675916</c:v>
                </c:pt>
                <c:pt idx="555">
                  <c:v>1067.5170455791435</c:v>
                </c:pt>
                <c:pt idx="556">
                  <c:v>1071.3322897243679</c:v>
                </c:pt>
                <c:pt idx="557">
                  <c:v>1075.1524669059713</c:v>
                </c:pt>
                <c:pt idx="558">
                  <c:v>1078.9775553513787</c:v>
                </c:pt>
                <c:pt idx="559">
                  <c:v>1082.8075333129789</c:v>
                </c:pt>
                <c:pt idx="560">
                  <c:v>1086.6423790683671</c:v>
                </c:pt>
                <c:pt idx="561">
                  <c:v>1090.4820709205869</c:v>
                </c:pt>
                <c:pt idx="562">
                  <c:v>1094.3265871983681</c:v>
                </c:pt>
                <c:pt idx="563">
                  <c:v>1098.1759062563633</c:v>
                </c:pt>
                <c:pt idx="564">
                  <c:v>1102.0300064753831</c:v>
                </c:pt>
                <c:pt idx="565">
                  <c:v>1105.8888662626268</c:v>
                </c:pt>
                <c:pt idx="566">
                  <c:v>1109.7524640519139</c:v>
                </c:pt>
                <c:pt idx="567">
                  <c:v>1113.6207783039104</c:v>
                </c:pt>
                <c:pt idx="568">
                  <c:v>1117.4937875063551</c:v>
                </c:pt>
                <c:pt idx="569">
                  <c:v>1121.3714701742833</c:v>
                </c:pt>
                <c:pt idx="570">
                  <c:v>1125.253804850247</c:v>
                </c:pt>
                <c:pt idx="571">
                  <c:v>1129.1407701045343</c:v>
                </c:pt>
                <c:pt idx="572">
                  <c:v>1133.0323445353863</c:v>
                </c:pt>
                <c:pt idx="573">
                  <c:v>1136.9285067692117</c:v>
                </c:pt>
                <c:pt idx="574">
                  <c:v>1140.8292354607991</c:v>
                </c:pt>
                <c:pt idx="575">
                  <c:v>1144.734509293527</c:v>
                </c:pt>
                <c:pt idx="576">
                  <c:v>1148.6443069795723</c:v>
                </c:pt>
                <c:pt idx="577">
                  <c:v>1152.5586072601161</c:v>
                </c:pt>
                <c:pt idx="578">
                  <c:v>1156.4773889055473</c:v>
                </c:pt>
                <c:pt idx="579">
                  <c:v>1160.400630715664</c:v>
                </c:pt>
                <c:pt idx="580">
                  <c:v>1164.3283115198733</c:v>
                </c:pt>
                <c:pt idx="581">
                  <c:v>1168.2604101773886</c:v>
                </c:pt>
                <c:pt idx="582">
                  <c:v>1172.1969055774241</c:v>
                </c:pt>
                <c:pt idx="583">
                  <c:v>1176.1377766393882</c:v>
                </c:pt>
                <c:pt idx="584">
                  <c:v>1180.0830023130745</c:v>
                </c:pt>
                <c:pt idx="585">
                  <c:v>1184.0325615788502</c:v>
                </c:pt>
                <c:pt idx="586">
                  <c:v>1187.9864334478423</c:v>
                </c:pt>
                <c:pt idx="587">
                  <c:v>1191.9445969621229</c:v>
                </c:pt>
                <c:pt idx="588">
                  <c:v>1195.9070311948908</c:v>
                </c:pt>
                <c:pt idx="589">
                  <c:v>1199.8737152506517</c:v>
                </c:pt>
                <c:pt idx="590">
                  <c:v>1203.8446282653968</c:v>
                </c:pt>
                <c:pt idx="591">
                  <c:v>1207.8197494067781</c:v>
                </c:pt>
                <c:pt idx="592">
                  <c:v>1211.7990578742827</c:v>
                </c:pt>
                <c:pt idx="593">
                  <c:v>1215.7825328994043</c:v>
                </c:pt>
                <c:pt idx="594">
                  <c:v>1219.7701537458129</c:v>
                </c:pt>
                <c:pt idx="595">
                  <c:v>1223.7618997095224</c:v>
                </c:pt>
                <c:pt idx="596">
                  <c:v>1227.757750119056</c:v>
                </c:pt>
                <c:pt idx="597">
                  <c:v>1231.7576843356101</c:v>
                </c:pt>
                <c:pt idx="598">
                  <c:v>1235.7616817532146</c:v>
                </c:pt>
                <c:pt idx="599">
                  <c:v>1239.7697217988934</c:v>
                </c:pt>
                <c:pt idx="600">
                  <c:v>1243.7817839328206</c:v>
                </c:pt>
                <c:pt idx="601">
                  <c:v>1247.7978476484764</c:v>
                </c:pt>
                <c:pt idx="602">
                  <c:v>1251.8178924727995</c:v>
                </c:pt>
                <c:pt idx="603">
                  <c:v>1255.841897966339</c:v>
                </c:pt>
                <c:pt idx="604">
                  <c:v>1259.8698437234027</c:v>
                </c:pt>
                <c:pt idx="605">
                  <c:v>1263.9017093722046</c:v>
                </c:pt>
                <c:pt idx="606">
                  <c:v>1267.9374745750094</c:v>
                </c:pt>
                <c:pt idx="607">
                  <c:v>1271.9771190282763</c:v>
                </c:pt>
                <c:pt idx="608">
                  <c:v>1276.0206224627989</c:v>
                </c:pt>
                <c:pt idx="609">
                  <c:v>1280.067964643845</c:v>
                </c:pt>
                <c:pt idx="610">
                  <c:v>1284.1191253712932</c:v>
                </c:pt>
                <c:pt idx="611">
                  <c:v>1288.1740844797682</c:v>
                </c:pt>
                <c:pt idx="612">
                  <c:v>1292.2328159011945</c:v>
                </c:pt>
                <c:pt idx="613">
                  <c:v>1296.2952876749196</c:v>
                </c:pt>
                <c:pt idx="614">
                  <c:v>1300.3614678954825</c:v>
                </c:pt>
                <c:pt idx="615">
                  <c:v>1304.4313247128759</c:v>
                </c:pt>
                <c:pt idx="616">
                  <c:v>1308.5048263328038</c:v>
                </c:pt>
                <c:pt idx="617">
                  <c:v>1312.5819410169356</c:v>
                </c:pt>
                <c:pt idx="618">
                  <c:v>1316.6626370831552</c:v>
                </c:pt>
                <c:pt idx="619">
                  <c:v>1320.7468829058062</c:v>
                </c:pt>
                <c:pt idx="620">
                  <c:v>1324.8346469159328</c:v>
                </c:pt>
                <c:pt idx="621">
                  <c:v>1328.9258976015165</c:v>
                </c:pt>
                <c:pt idx="622">
                  <c:v>1333.0206035077085</c:v>
                </c:pt>
                <c:pt idx="623">
                  <c:v>1337.1187332370578</c:v>
                </c:pt>
                <c:pt idx="624">
                  <c:v>1341.2202554497353</c:v>
                </c:pt>
                <c:pt idx="625">
                  <c:v>1345.3251388637539</c:v>
                </c:pt>
                <c:pt idx="626">
                  <c:v>1349.433352255184</c:v>
                </c:pt>
                <c:pt idx="627">
                  <c:v>1353.5448644583653</c:v>
                </c:pt>
                <c:pt idx="628">
                  <c:v>1357.6596443661144</c:v>
                </c:pt>
                <c:pt idx="629">
                  <c:v>1361.7776609299278</c:v>
                </c:pt>
                <c:pt idx="630">
                  <c:v>1365.8988831601821</c:v>
                </c:pt>
                <c:pt idx="631">
                  <c:v>1370.0232801263282</c:v>
                </c:pt>
                <c:pt idx="632">
                  <c:v>1374.1508209570841</c:v>
                </c:pt>
                <c:pt idx="633">
                  <c:v>1378.2814748406211</c:v>
                </c:pt>
                <c:pt idx="634">
                  <c:v>1382.4152110247474</c:v>
                </c:pt>
                <c:pt idx="635">
                  <c:v>1386.5519988170877</c:v>
                </c:pt>
                <c:pt idx="636">
                  <c:v>1390.6918075852589</c:v>
                </c:pt>
                <c:pt idx="637">
                  <c:v>1394.8346067570405</c:v>
                </c:pt>
                <c:pt idx="638">
                  <c:v>1398.980365820544</c:v>
                </c:pt>
                <c:pt idx="639">
                  <c:v>1403.1290543243749</c:v>
                </c:pt>
                <c:pt idx="640">
                  <c:v>1407.2806418777936</c:v>
                </c:pt>
                <c:pt idx="641">
                  <c:v>1411.4350981508712</c:v>
                </c:pt>
                <c:pt idx="642">
                  <c:v>1415.592392874642</c:v>
                </c:pt>
                <c:pt idx="643">
                  <c:v>1419.7524958412516</c:v>
                </c:pt>
                <c:pt idx="644">
                  <c:v>1423.9153769041015</c:v>
                </c:pt>
                <c:pt idx="645">
                  <c:v>1428.0810059779908</c:v>
                </c:pt>
                <c:pt idx="646">
                  <c:v>1432.2493365822081</c:v>
                </c:pt>
                <c:pt idx="647">
                  <c:v>1436.4203040432988</c:v>
                </c:pt>
                <c:pt idx="648">
                  <c:v>1440.593841988584</c:v>
                </c:pt>
                <c:pt idx="649">
                  <c:v>1444.7698841802992</c:v>
                </c:pt>
                <c:pt idx="650">
                  <c:v>1448.9483645163125</c:v>
                </c:pt>
                <c:pt idx="651">
                  <c:v>1453.1292170308272</c:v>
                </c:pt>
                <c:pt idx="652">
                  <c:v>1457.3123758950676</c:v>
                </c:pt>
                <c:pt idx="653">
                  <c:v>1461.4977754179488</c:v>
                </c:pt>
                <c:pt idx="654">
                  <c:v>1465.6853500467309</c:v>
                </c:pt>
                <c:pt idx="655">
                  <c:v>1469.8750343676566</c:v>
                </c:pt>
                <c:pt idx="656">
                  <c:v>1474.0667631065728</c:v>
                </c:pt>
                <c:pt idx="657">
                  <c:v>1478.2604711295382</c:v>
                </c:pt>
                <c:pt idx="658">
                  <c:v>1482.456093443413</c:v>
                </c:pt>
                <c:pt idx="659">
                  <c:v>1486.6535651964339</c:v>
                </c:pt>
                <c:pt idx="660">
                  <c:v>1490.8528216787743</c:v>
                </c:pt>
                <c:pt idx="661">
                  <c:v>1495.0537983230879</c:v>
                </c:pt>
                <c:pt idx="662">
                  <c:v>1499.2564307050384</c:v>
                </c:pt>
                <c:pt idx="663">
                  <c:v>1503.4606545438126</c:v>
                </c:pt>
                <c:pt idx="664">
                  <c:v>1507.6664057026198</c:v>
                </c:pt>
                <c:pt idx="665">
                  <c:v>1511.8736201891752</c:v>
                </c:pt>
                <c:pt idx="666">
                  <c:v>1516.0821992991389</c:v>
                </c:pt>
                <c:pt idx="667">
                  <c:v>1520.292000976702</c:v>
                </c:pt>
                <c:pt idx="668">
                  <c:v>1524.5028747730146</c:v>
                </c:pt>
                <c:pt idx="669">
                  <c:v>1528.7146705889572</c:v>
                </c:pt>
                <c:pt idx="670">
                  <c:v>1532.9272386785649</c:v>
                </c:pt>
                <c:pt idx="671">
                  <c:v>1537.1404296523685</c:v>
                </c:pt>
                <c:pt idx="672">
                  <c:v>1541.3540944806548</c:v>
                </c:pt>
                <c:pt idx="673">
                  <c:v>1545.5680844966464</c:v>
                </c:pt>
                <c:pt idx="674">
                  <c:v>1549.7822513996</c:v>
                </c:pt>
                <c:pt idx="675">
                  <c:v>1553.9964472578258</c:v>
                </c:pt>
                <c:pt idx="676">
                  <c:v>1558.2105245116265</c:v>
                </c:pt>
                <c:pt idx="677">
                  <c:v>1562.4243359761572</c:v>
                </c:pt>
                <c:pt idx="678">
                  <c:v>1566.6377348442065</c:v>
                </c:pt>
                <c:pt idx="679">
                  <c:v>1570.8505746889007</c:v>
                </c:pt>
                <c:pt idx="680">
                  <c:v>1575.0627094663278</c:v>
                </c:pt>
                <c:pt idx="681">
                  <c:v>1579.2739935180871</c:v>
                </c:pt>
                <c:pt idx="682">
                  <c:v>1583.4842815737602</c:v>
                </c:pt>
                <c:pt idx="683">
                  <c:v>1587.6934287533063</c:v>
                </c:pt>
                <c:pt idx="684">
                  <c:v>1591.9012905693828</c:v>
                </c:pt>
                <c:pt idx="685">
                  <c:v>1596.1077229295893</c:v>
                </c:pt>
                <c:pt idx="686">
                  <c:v>1600.3125821386388</c:v>
                </c:pt>
                <c:pt idx="687">
                  <c:v>1604.515724900454</c:v>
                </c:pt>
                <c:pt idx="688">
                  <c:v>1608.7170083201902</c:v>
                </c:pt>
                <c:pt idx="689">
                  <c:v>1612.9162899061864</c:v>
                </c:pt>
                <c:pt idx="690">
                  <c:v>1617.1134275718439</c:v>
                </c:pt>
                <c:pt idx="691">
                  <c:v>1621.3082796374324</c:v>
                </c:pt>
                <c:pt idx="692">
                  <c:v>1625.5007048318271</c:v>
                </c:pt>
                <c:pt idx="693">
                  <c:v>1629.6905622941738</c:v>
                </c:pt>
                <c:pt idx="694">
                  <c:v>1633.8777115754863</c:v>
                </c:pt>
                <c:pt idx="695">
                  <c:v>1638.0620126401725</c:v>
                </c:pt>
                <c:pt idx="696">
                  <c:v>1642.2433258674946</c:v>
                </c:pt>
                <c:pt idx="697">
                  <c:v>1646.4215120529598</c:v>
                </c:pt>
                <c:pt idx="698">
                  <c:v>1650.5964324096451</c:v>
                </c:pt>
                <c:pt idx="699">
                  <c:v>1654.7679485694553</c:v>
                </c:pt>
                <c:pt idx="700">
                  <c:v>1658.9359225843154</c:v>
                </c:pt>
                <c:pt idx="701">
                  <c:v>1663.1002169272988</c:v>
                </c:pt>
                <c:pt idx="702">
                  <c:v>1667.2606944936897</c:v>
                </c:pt>
                <c:pt idx="703">
                  <c:v>1671.4172186019837</c:v>
                </c:pt>
                <c:pt idx="704">
                  <c:v>1675.5696529948236</c:v>
                </c:pt>
                <c:pt idx="705">
                  <c:v>1679.7178618398755</c:v>
                </c:pt>
                <c:pt idx="706">
                  <c:v>1683.8617097306403</c:v>
                </c:pt>
                <c:pt idx="707">
                  <c:v>1688.0010616872073</c:v>
                </c:pt>
                <c:pt idx="708">
                  <c:v>1692.1357822127266</c:v>
                </c:pt>
                <c:pt idx="709">
                  <c:v>1696.2657267977622</c:v>
                </c:pt>
                <c:pt idx="710">
                  <c:v>1700.3907428978966</c:v>
                </c:pt>
                <c:pt idx="711">
                  <c:v>1704.5106784636366</c:v>
                </c:pt>
                <c:pt idx="712">
                  <c:v>1708.6253819414571</c:v>
                </c:pt>
                <c:pt idx="713">
                  <c:v>1712.7347022747686</c:v>
                </c:pt>
                <c:pt idx="714">
                  <c:v>1716.8384889048079</c:v>
                </c:pt>
                <c:pt idx="715">
                  <c:v>1720.9365917714547</c:v>
                </c:pt>
                <c:pt idx="716">
                  <c:v>1725.0288613139726</c:v>
                </c:pt>
                <c:pt idx="717">
                  <c:v>1729.1151484716786</c:v>
                </c:pt>
                <c:pt idx="718">
                  <c:v>1733.1953046845385</c:v>
                </c:pt>
                <c:pt idx="719">
                  <c:v>1737.2691818936921</c:v>
                </c:pt>
                <c:pt idx="720">
                  <c:v>1741.3366325419074</c:v>
                </c:pt>
                <c:pt idx="721">
                  <c:v>1745.3975095739654</c:v>
                </c:pt>
                <c:pt idx="722">
                  <c:v>1749.4516664369769</c:v>
                </c:pt>
                <c:pt idx="723">
                  <c:v>1753.4989570806304</c:v>
                </c:pt>
                <c:pt idx="724">
                  <c:v>1757.5392359573743</c:v>
                </c:pt>
                <c:pt idx="725">
                  <c:v>1761.5722381298976</c:v>
                </c:pt>
                <c:pt idx="726">
                  <c:v>1765.5975283828532</c:v>
                </c:pt>
                <c:pt idx="727">
                  <c:v>1769.6148788286596</c:v>
                </c:pt>
                <c:pt idx="728">
                  <c:v>1773.6243194517308</c:v>
                </c:pt>
                <c:pt idx="729">
                  <c:v>1777.6258800519868</c:v>
                </c:pt>
                <c:pt idx="730">
                  <c:v>1781.6195902463794</c:v>
                </c:pt>
                <c:pt idx="731">
                  <c:v>1785.6054794704039</c:v>
                </c:pt>
                <c:pt idx="732">
                  <c:v>1789.5835769795935</c:v>
                </c:pt>
                <c:pt idx="733">
                  <c:v>1793.5539118509996</c:v>
                </c:pt>
                <c:pt idx="734">
                  <c:v>1797.5165129846557</c:v>
                </c:pt>
                <c:pt idx="735">
                  <c:v>1801.4714091050266</c:v>
                </c:pt>
                <c:pt idx="736">
                  <c:v>1805.4186287624429</c:v>
                </c:pt>
                <c:pt idx="737">
                  <c:v>1809.3582003345207</c:v>
                </c:pt>
                <c:pt idx="738">
                  <c:v>1813.2901520275661</c:v>
                </c:pt>
                <c:pt idx="739">
                  <c:v>1817.2145118779667</c:v>
                </c:pt>
                <c:pt idx="740">
                  <c:v>1821.1313077535674</c:v>
                </c:pt>
                <c:pt idx="741">
                  <c:v>1825.0405673550333</c:v>
                </c:pt>
                <c:pt idx="742">
                  <c:v>1828.9423182171979</c:v>
                </c:pt>
                <c:pt idx="743">
                  <c:v>1832.8365877103984</c:v>
                </c:pt>
                <c:pt idx="744">
                  <c:v>1836.7234030417969</c:v>
                </c:pt>
                <c:pt idx="745">
                  <c:v>1840.6027912566888</c:v>
                </c:pt>
                <c:pt idx="746">
                  <c:v>1844.4747792397973</c:v>
                </c:pt>
                <c:pt idx="747">
                  <c:v>1848.3393937165556</c:v>
                </c:pt>
                <c:pt idx="748">
                  <c:v>1852.1966612543758</c:v>
                </c:pt>
                <c:pt idx="749">
                  <c:v>1856.0466082639052</c:v>
                </c:pt>
                <c:pt idx="750">
                  <c:v>1859.8892610002699</c:v>
                </c:pt>
                <c:pt idx="751">
                  <c:v>1863.7246455643065</c:v>
                </c:pt>
                <c:pt idx="752">
                  <c:v>1867.5527879037809</c:v>
                </c:pt>
                <c:pt idx="753">
                  <c:v>1871.3737138145955</c:v>
                </c:pt>
                <c:pt idx="754">
                  <c:v>1875.187448941984</c:v>
                </c:pt>
                <c:pt idx="755">
                  <c:v>1878.9940187816949</c:v>
                </c:pt>
                <c:pt idx="756">
                  <c:v>1882.7934486811625</c:v>
                </c:pt>
                <c:pt idx="757">
                  <c:v>1886.5857638406674</c:v>
                </c:pt>
                <c:pt idx="758">
                  <c:v>1890.3709893144846</c:v>
                </c:pt>
                <c:pt idx="759">
                  <c:v>1894.1491500120212</c:v>
                </c:pt>
                <c:pt idx="760">
                  <c:v>1897.9202706989424</c:v>
                </c:pt>
                <c:pt idx="761">
                  <c:v>1901.6843759982867</c:v>
                </c:pt>
                <c:pt idx="762">
                  <c:v>1905.4414903915695</c:v>
                </c:pt>
                <c:pt idx="763">
                  <c:v>1909.1916382198779</c:v>
                </c:pt>
                <c:pt idx="764">
                  <c:v>1912.9348436849527</c:v>
                </c:pt>
                <c:pt idx="765">
                  <c:v>1916.6711308502611</c:v>
                </c:pt>
                <c:pt idx="766">
                  <c:v>1920.4005236420583</c:v>
                </c:pt>
                <c:pt idx="767">
                  <c:v>1924.1230458504399</c:v>
                </c:pt>
                <c:pt idx="768">
                  <c:v>1927.8387211303832</c:v>
                </c:pt>
                <c:pt idx="769">
                  <c:v>1931.5475730027786</c:v>
                </c:pt>
                <c:pt idx="770">
                  <c:v>1935.2496248554519</c:v>
                </c:pt>
                <c:pt idx="771">
                  <c:v>1938.9448999441754</c:v>
                </c:pt>
                <c:pt idx="772">
                  <c:v>1942.6334213936709</c:v>
                </c:pt>
                <c:pt idx="773">
                  <c:v>1946.3152121986022</c:v>
                </c:pt>
                <c:pt idx="774">
                  <c:v>1949.9902952245577</c:v>
                </c:pt>
                <c:pt idx="775">
                  <c:v>1953.6586932090252</c:v>
                </c:pt>
                <c:pt idx="776">
                  <c:v>1957.320428762356</c:v>
                </c:pt>
                <c:pt idx="777">
                  <c:v>1960.9755243687202</c:v>
                </c:pt>
                <c:pt idx="778">
                  <c:v>1964.6240023870541</c:v>
                </c:pt>
                <c:pt idx="779">
                  <c:v>1968.2658850519965</c:v>
                </c:pt>
                <c:pt idx="780">
                  <c:v>1971.9011944748181</c:v>
                </c:pt>
                <c:pt idx="781">
                  <c:v>1975.5299526443418</c:v>
                </c:pt>
                <c:pt idx="782">
                  <c:v>1979.1521814278535</c:v>
                </c:pt>
                <c:pt idx="783">
                  <c:v>1982.7679025720051</c:v>
                </c:pt>
                <c:pt idx="784">
                  <c:v>1986.377137703709</c:v>
                </c:pt>
                <c:pt idx="785">
                  <c:v>1989.9799083310238</c:v>
                </c:pt>
                <c:pt idx="786">
                  <c:v>1993.5762358440329</c:v>
                </c:pt>
                <c:pt idx="787">
                  <c:v>1997.1661415157134</c:v>
                </c:pt>
                <c:pt idx="788">
                  <c:v>2000.749646502798</c:v>
                </c:pt>
                <c:pt idx="789">
                  <c:v>2004.3267718466284</c:v>
                </c:pt>
                <c:pt idx="790">
                  <c:v>2007.8975384740017</c:v>
                </c:pt>
                <c:pt idx="791">
                  <c:v>2011.4619671980076</c:v>
                </c:pt>
                <c:pt idx="792">
                  <c:v>2015.0200787188592</c:v>
                </c:pt>
                <c:pt idx="793">
                  <c:v>2018.5718936247149</c:v>
                </c:pt>
                <c:pt idx="794">
                  <c:v>2022.1174323924945</c:v>
                </c:pt>
                <c:pt idx="795">
                  <c:v>2025.6567153886858</c:v>
                </c:pt>
                <c:pt idx="796">
                  <c:v>2029.1897628701458</c:v>
                </c:pt>
                <c:pt idx="797">
                  <c:v>2032.7165949848929</c:v>
                </c:pt>
                <c:pt idx="798">
                  <c:v>2036.237231772893</c:v>
                </c:pt>
                <c:pt idx="799">
                  <c:v>2039.7516931668379</c:v>
                </c:pt>
                <c:pt idx="800">
                  <c:v>2043.2599989929172</c:v>
                </c:pt>
                <c:pt idx="801">
                  <c:v>2078.0060281708388</c:v>
                </c:pt>
                <c:pt idx="802">
                  <c:v>2112.1491323008649</c:v>
                </c:pt>
                <c:pt idx="803">
                  <c:v>2145.7081616910705</c:v>
                </c:pt>
                <c:pt idx="804">
                  <c:v>2178.7009966273408</c:v>
                </c:pt>
                <c:pt idx="805">
                  <c:v>2211.1446135806937</c:v>
                </c:pt>
                <c:pt idx="806">
                  <c:v>2243.0551458048767</c:v>
                </c:pt>
                <c:pt idx="807">
                  <c:v>2274.4479388887657</c:v>
                </c:pt>
                <c:pt idx="808">
                  <c:v>2305.3376017625756</c:v>
                </c:pt>
                <c:pt idx="809">
                  <c:v>2335.7380535999819</c:v>
                </c:pt>
                <c:pt idx="810">
                  <c:v>2365.6625670086482</c:v>
                </c:pt>
                <c:pt idx="811">
                  <c:v>2395.1238078583497</c:v>
                </c:pt>
                <c:pt idx="812">
                  <c:v>2424.1338720579597</c:v>
                </c:pt>
                <c:pt idx="813">
                  <c:v>2452.7043195593083</c:v>
                </c:pt>
                <c:pt idx="814">
                  <c:v>2480.8462058366677</c:v>
                </c:pt>
                <c:pt idx="815">
                  <c:v>2508.5701110648524</c:v>
                </c:pt>
                <c:pt idx="816">
                  <c:v>2535.8861671961658</c:v>
                </c:pt>
                <c:pt idx="817">
                  <c:v>2562.8040831162975</c:v>
                </c:pt>
                <c:pt idx="818">
                  <c:v>2589.3331680414367</c:v>
                </c:pt>
                <c:pt idx="819">
                  <c:v>2615.4823533030199</c:v>
                </c:pt>
                <c:pt idx="820">
                  <c:v>2641.2602126524462</c:v>
                </c:pt>
                <c:pt idx="821">
                  <c:v>2666.6749812055318</c:v>
                </c:pt>
                <c:pt idx="822">
                  <c:v>2691.7345731352621</c:v>
                </c:pt>
                <c:pt idx="823">
                  <c:v>2716.446598211387</c:v>
                </c:pt>
                <c:pt idx="824">
                  <c:v>2740.8183772764237</c:v>
                </c:pt>
                <c:pt idx="825">
                  <c:v>2764.856956739583</c:v>
                </c:pt>
                <c:pt idx="826">
                  <c:v>2788.5691221629049</c:v>
                </c:pt>
                <c:pt idx="827">
                  <c:v>2811.9614110073899</c:v>
                </c:pt>
                <c:pt idx="828">
                  <c:v>2835.040124601046</c:v>
                </c:pt>
                <c:pt idx="829">
                  <c:v>2857.8113393854924</c:v>
                </c:pt>
                <c:pt idx="830">
                  <c:v>2880.280917492983</c:v>
                </c:pt>
                <c:pt idx="831">
                  <c:v>2902.4545167013976</c:v>
                </c:pt>
                <c:pt idx="832">
                  <c:v>2924.3375998108363</c:v>
                </c:pt>
                <c:pt idx="833">
                  <c:v>2945.9354434819061</c:v>
                </c:pt>
                <c:pt idx="834">
                  <c:v>2967.2531465725715</c:v>
                </c:pt>
                <c:pt idx="835">
                  <c:v>2988.2956380075125</c:v>
                </c:pt>
                <c:pt idx="836">
                  <c:v>3009.0676842112707</c:v>
                </c:pt>
                <c:pt idx="837">
                  <c:v>3029.5738961340426</c:v>
                </c:pt>
                <c:pt idx="838">
                  <c:v>3049.8187358967552</c:v>
                </c:pt>
                <c:pt idx="839">
                  <c:v>3069.8065230800562</c:v>
                </c:pt>
                <c:pt idx="840">
                  <c:v>3089.5414406799864</c:v>
                </c:pt>
                <c:pt idx="841">
                  <c:v>3109.0275407514282</c:v>
                </c:pt>
                <c:pt idx="842">
                  <c:v>3128.2687497588645</c:v>
                </c:pt>
                <c:pt idx="843">
                  <c:v>3147.2688736525733</c:v>
                </c:pt>
                <c:pt idx="844">
                  <c:v>3166.0316026870764</c:v>
                </c:pt>
                <c:pt idx="845">
                  <c:v>3184.5605159974684</c:v>
                </c:pt>
                <c:pt idx="846">
                  <c:v>3202.8590859481506</c:v>
                </c:pt>
                <c:pt idx="847">
                  <c:v>3220.9306822674848</c:v>
                </c:pt>
                <c:pt idx="848">
                  <c:v>3238.7785759809522</c:v>
                </c:pt>
                <c:pt idx="849">
                  <c:v>3256.4059431545388</c:v>
                </c:pt>
                <c:pt idx="850">
                  <c:v>3273.8158684592868</c:v>
                </c:pt>
                <c:pt idx="851">
                  <c:v>3291.0113485672064</c:v>
                </c:pt>
                <c:pt idx="852">
                  <c:v>3307.9952953880829</c:v>
                </c:pt>
                <c:pt idx="853">
                  <c:v>3324.7705391560735</c:v>
                </c:pt>
                <c:pt idx="854">
                  <c:v>3341.3398313744233</c:v>
                </c:pt>
                <c:pt idx="855">
                  <c:v>3357.7058476260854</c:v>
                </c:pt>
                <c:pt idx="856">
                  <c:v>3373.8711902575387</c:v>
                </c:pt>
                <c:pt idx="857">
                  <c:v>3389.8383909426329</c:v>
                </c:pt>
                <c:pt idx="858">
                  <c:v>3405.6099131328679</c:v>
                </c:pt>
                <c:pt idx="859">
                  <c:v>3421.1881544001117</c:v>
                </c:pt>
                <c:pt idx="860">
                  <c:v>3436.5754486773963</c:v>
                </c:pt>
                <c:pt idx="861">
                  <c:v>3451.7740684030882</c:v>
                </c:pt>
                <c:pt idx="862">
                  <c:v>3466.7862265734057</c:v>
                </c:pt>
                <c:pt idx="863">
                  <c:v>3481.6140787079644</c:v>
                </c:pt>
                <c:pt idx="864">
                  <c:v>3496.259724732749</c:v>
                </c:pt>
                <c:pt idx="865">
                  <c:v>3510.7252107846566</c:v>
                </c:pt>
                <c:pt idx="866">
                  <c:v>3525.0125309415107</c:v>
                </c:pt>
                <c:pt idx="867">
                  <c:v>3539.1236288812202</c:v>
                </c:pt>
                <c:pt idx="868">
                  <c:v>3553.0603994735529</c:v>
                </c:pt>
                <c:pt idx="869">
                  <c:v>3566.8246903077898</c:v>
                </c:pt>
                <c:pt idx="870">
                  <c:v>3580.4183031593416</c:v>
                </c:pt>
                <c:pt idx="871">
                  <c:v>3593.8429953982477</c:v>
                </c:pt>
                <c:pt idx="872">
                  <c:v>3607.1004813423015</c:v>
                </c:pt>
                <c:pt idx="873">
                  <c:v>3620.1924335574058</c:v>
                </c:pt>
                <c:pt idx="874">
                  <c:v>3633.1204841076169</c:v>
                </c:pt>
                <c:pt idx="875">
                  <c:v>3645.8862257572027</c:v>
                </c:pt>
                <c:pt idx="876">
                  <c:v>3658.4912131269157</c:v>
                </c:pt>
                <c:pt idx="877">
                  <c:v>3670.9369638065659</c:v>
                </c:pt>
                <c:pt idx="878">
                  <c:v>3683.2249594258692</c:v>
                </c:pt>
                <c:pt idx="879">
                  <c:v>3695.3566466854413</c:v>
                </c:pt>
                <c:pt idx="880">
                  <c:v>3707.3334383497104</c:v>
                </c:pt>
                <c:pt idx="881">
                  <c:v>3719.1567142034351</c:v>
                </c:pt>
                <c:pt idx="882">
                  <c:v>3730.827821973422</c:v>
                </c:pt>
                <c:pt idx="883">
                  <c:v>3742.3480782169599</c:v>
                </c:pt>
                <c:pt idx="884">
                  <c:v>3753.7187691784125</c:v>
                </c:pt>
                <c:pt idx="885">
                  <c:v>3764.9411516153359</c:v>
                </c:pt>
                <c:pt idx="886">
                  <c:v>3776.0164535954241</c:v>
                </c:pt>
                <c:pt idx="887">
                  <c:v>3786.9458752655169</c:v>
                </c:pt>
                <c:pt idx="888">
                  <c:v>3797.7305895938521</c:v>
                </c:pt>
                <c:pt idx="889">
                  <c:v>3808.3717430866759</c:v>
                </c:pt>
                <c:pt idx="890">
                  <c:v>3818.8704564802852</c:v>
                </c:pt>
                <c:pt idx="891">
                  <c:v>3829.2278254095122</c:v>
                </c:pt>
                <c:pt idx="892">
                  <c:v>3839.444921053625</c:v>
                </c:pt>
                <c:pt idx="893">
                  <c:v>3849.522790760564</c:v>
                </c:pt>
                <c:pt idx="894">
                  <c:v>3859.4624586503951</c:v>
                </c:pt>
                <c:pt idx="895">
                  <c:v>3869.264926198824</c:v>
                </c:pt>
                <c:pt idx="896">
                  <c:v>3878.9311728015687</c:v>
                </c:pt>
                <c:pt idx="897">
                  <c:v>3888.4621563203596</c:v>
                </c:pt>
                <c:pt idx="898">
                  <c:v>3897.8588136112994</c:v>
                </c:pt>
                <c:pt idx="899">
                  <c:v>3907.1220610362816</c:v>
                </c:pt>
                <c:pt idx="900">
                  <c:v>3916.2527949581363</c:v>
                </c:pt>
                <c:pt idx="901">
                  <c:v>3925.2518922201466</c:v>
                </c:pt>
                <c:pt idx="902">
                  <c:v>3934.1202106105443</c:v>
                </c:pt>
                <c:pt idx="903">
                  <c:v>3942.8585893125755</c:v>
                </c:pt>
                <c:pt idx="904">
                  <c:v>3951.4678493406968</c:v>
                </c:pt>
                <c:pt idx="905">
                  <c:v>3959.9487939634414</c:v>
                </c:pt>
                <c:pt idx="906">
                  <c:v>3968.3022091134726</c:v>
                </c:pt>
                <c:pt idx="907">
                  <c:v>3976.5288637853196</c:v>
                </c:pt>
                <c:pt idx="908">
                  <c:v>3984.6295104212741</c:v>
                </c:pt>
                <c:pt idx="909">
                  <c:v>3992.6048852859035</c:v>
                </c:pt>
                <c:pt idx="910">
                  <c:v>4000.4557088296215</c:v>
                </c:pt>
                <c:pt idx="911">
                  <c:v>4008.1826860417373</c:v>
                </c:pt>
                <c:pt idx="912">
                  <c:v>4015.7865067933944</c:v>
                </c:pt>
                <c:pt idx="913">
                  <c:v>4023.2678461707878</c:v>
                </c:pt>
                <c:pt idx="914">
                  <c:v>4030.6273647990361</c:v>
                </c:pt>
                <c:pt idx="915">
                  <c:v>4037.8657091570776</c:v>
                </c:pt>
                <c:pt idx="916">
                  <c:v>4044.9835118839364</c:v>
                </c:pt>
                <c:pt idx="917">
                  <c:v>4051.9813920767024</c:v>
                </c:pt>
                <c:pt idx="918">
                  <c:v>4058.8599555805486</c:v>
                </c:pt>
                <c:pt idx="919">
                  <c:v>4065.6197952711068</c:v>
                </c:pt>
                <c:pt idx="920">
                  <c:v>4072.2614913295051</c:v>
                </c:pt>
                <c:pt idx="921">
                  <c:v>4078.7856115103673</c:v>
                </c:pt>
                <c:pt idx="922">
                  <c:v>4085.1927114030586</c:v>
                </c:pt>
                <c:pt idx="923">
                  <c:v>4091.4833346864611</c:v>
                </c:pt>
                <c:pt idx="924">
                  <c:v>4097.6580133775451</c:v>
                </c:pt>
                <c:pt idx="925">
                  <c:v>4103.7172680740068</c:v>
                </c:pt>
                <c:pt idx="926">
                  <c:v>4109.6616081912189</c:v>
                </c:pt>
                <c:pt idx="927">
                  <c:v>4115.491532193756</c:v>
                </c:pt>
                <c:pt idx="928">
                  <c:v>4121.2075278217244</c:v>
                </c:pt>
                <c:pt idx="929">
                  <c:v>4126.8100723121424</c:v>
                </c:pt>
                <c:pt idx="930">
                  <c:v>4132.2996326156008</c:v>
                </c:pt>
                <c:pt idx="931">
                  <c:v>4137.6766656084264</c:v>
                </c:pt>
                <c:pt idx="932">
                  <c:v>4142.9416183005715</c:v>
                </c:pt>
                <c:pt idx="933">
                  <c:v>4148.0949280394434</c:v>
                </c:pt>
                <c:pt idx="934">
                  <c:v>4153.1370227098887</c:v>
                </c:pt>
                <c:pt idx="935">
                  <c:v>4158.0683209305334</c:v>
                </c:pt>
                <c:pt idx="936">
                  <c:v>4162.8892322466909</c:v>
                </c:pt>
                <c:pt idx="937">
                  <c:v>4167.6001573200238</c:v>
                </c:pt>
                <c:pt idx="938">
                  <c:v>4172.2014881151681</c:v>
                </c:pt>
                <c:pt idx="939">
                  <c:v>4176.6936080835012</c:v>
                </c:pt>
                <c:pt idx="940">
                  <c:v>4181.0768923442456</c:v>
                </c:pt>
                <c:pt idx="941">
                  <c:v>4185.3517078630948</c:v>
                </c:pt>
                <c:pt idx="942">
                  <c:v>4189.518413628537</c:v>
                </c:pt>
                <c:pt idx="943">
                  <c:v>4193.577360826057</c:v>
                </c:pt>
                <c:pt idx="944">
                  <c:v>4197.5288930103925</c:v>
                </c:pt>
                <c:pt idx="945">
                  <c:v>4201.3733462760119</c:v>
                </c:pt>
                <c:pt idx="946">
                  <c:v>4205.1110494259819</c:v>
                </c:pt>
                <c:pt idx="947">
                  <c:v>4208.7423241393899</c:v>
                </c:pt>
                <c:pt idx="948">
                  <c:v>4212.2674851374786</c:v>
                </c:pt>
                <c:pt idx="949">
                  <c:v>4215.6868403486478</c:v>
                </c:pt>
                <c:pt idx="950">
                  <c:v>4219.0006910724815</c:v>
                </c:pt>
                <c:pt idx="951">
                  <c:v>4222.2093321429347</c:v>
                </c:pt>
                <c:pt idx="952">
                  <c:v>4225.3130520908389</c:v>
                </c:pt>
                <c:pt idx="953">
                  <c:v>4228.3121333058443</c:v>
                </c:pt>
                <c:pt idx="954">
                  <c:v>4231.206852197949</c:v>
                </c:pt>
                <c:pt idx="955">
                  <c:v>4233.9974793587271</c:v>
                </c:pt>
                <c:pt idx="956">
                  <c:v>4236.6842797223835</c:v>
                </c:pt>
                <c:pt idx="957">
                  <c:v>4239.2675127267421</c:v>
                </c:pt>
                <c:pt idx="958">
                  <c:v>4241.7474324742816</c:v>
                </c:pt>
                <c:pt idx="959">
                  <c:v>4244.1242878933062</c:v>
                </c:pt>
                <c:pt idx="960">
                  <c:v>4246.3983228993511</c:v>
                </c:pt>
                <c:pt idx="961">
                  <c:v>4248.5697765568939</c:v>
                </c:pt>
                <c:pt idx="962">
                  <c:v>4250.638883241455</c:v>
                </c:pt>
                <c:pt idx="963">
                  <c:v>4252.6058728021362</c:v>
                </c:pt>
                <c:pt idx="964">
                  <c:v>4254.4709707246602</c:v>
                </c:pt>
                <c:pt idx="965">
                  <c:v>4256.2343982949451</c:v>
                </c:pt>
                <c:pt idx="966">
                  <c:v>4257.8963727632427</c:v>
                </c:pt>
                <c:pt idx="967">
                  <c:v>4259.4571075088616</c:v>
                </c:pt>
                <c:pt idx="968">
                  <c:v>4260.9168122054798</c:v>
                </c:pt>
                <c:pt idx="969">
                  <c:v>4262.2756929870375</c:v>
                </c:pt>
                <c:pt idx="970">
                  <c:v>4263.5339526141879</c:v>
                </c:pt>
                <c:pt idx="971">
                  <c:v>4264.6917906412782</c:v>
                </c:pt>
                <c:pt idx="972">
                  <c:v>4265.7494035838108</c:v>
                </c:pt>
                <c:pt idx="973">
                  <c:v>4266.7069850863254</c:v>
                </c:pt>
                <c:pt idx="974">
                  <c:v>4267.5647260906289</c:v>
                </c:pt>
                <c:pt idx="975">
                  <c:v>4268.3228150042869</c:v>
                </c:pt>
                <c:pt idx="976">
                  <c:v>4268.981437869279</c:v>
                </c:pt>
                <c:pt idx="977">
                  <c:v>4269.5407785307098</c:v>
                </c:pt>
                <c:pt idx="978">
                  <c:v>4270.0010188054439</c:v>
                </c:pt>
                <c:pt idx="979">
                  <c:v>4270.3623386505415</c:v>
                </c:pt>
                <c:pt idx="980">
                  <c:v>4270.624916331346</c:v>
                </c:pt>
                <c:pt idx="981">
                  <c:v>4270.7889285890678</c:v>
                </c:pt>
                <c:pt idx="982">
                  <c:v>4270.8545508077032</c:v>
                </c:pt>
                <c:pt idx="983">
                  <c:v>4270.8219571801219</c:v>
                </c:pt>
                <c:pt idx="984">
                  <c:v>4270.6913208731448</c:v>
                </c:pt>
                <c:pt idx="985">
                  <c:v>4270.4628141914263</c:v>
                </c:pt>
                <c:pt idx="986">
                  <c:v>4270.1366087399656</c:v>
                </c:pt>
                <c:pt idx="987">
                  <c:v>4269.7128755850508</c:v>
                </c:pt>
                <c:pt idx="988">
                  <c:v>4269.191785413449</c:v>
                </c:pt>
                <c:pt idx="989">
                  <c:v>4268.5735086896611</c:v>
                </c:pt>
                <c:pt idx="990">
                  <c:v>4267.858215811043</c:v>
                </c:pt>
                <c:pt idx="991">
                  <c:v>4267.0460772606157</c:v>
                </c:pt>
                <c:pt idx="992">
                  <c:v>4266.137263757385</c:v>
                </c:pt>
                <c:pt idx="993">
                  <c:v>4265.1319464039952</c:v>
                </c:pt>
                <c:pt idx="994">
                  <c:v>4264.0302968315455</c:v>
                </c:pt>
                <c:pt idx="995">
                  <c:v>4262.832487341414</c:v>
                </c:pt>
                <c:pt idx="996">
                  <c:v>4261.5386910439329</c:v>
                </c:pt>
                <c:pt idx="997">
                  <c:v>4260.1490819937799</c:v>
                </c:pt>
                <c:pt idx="998">
                  <c:v>4258.6638353219414</c:v>
                </c:pt>
                <c:pt idx="999">
                  <c:v>4257.0831273641406</c:v>
                </c:pt>
                <c:pt idx="1000">
                  <c:v>4255.4071357856101</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0</c:v>
                </c:pt>
                <c:pt idx="1">
                  <c:v>0</c:v>
                </c:pt>
                <c:pt idx="2">
                  <c:v>1.6080661865225683E-4</c:v>
                </c:pt>
                <c:pt idx="3">
                  <c:v>8.3228455394329193E-4</c:v>
                </c:pt>
                <c:pt idx="4">
                  <c:v>2.3926906529286693E-3</c:v>
                </c:pt>
                <c:pt idx="5">
                  <c:v>5.1476838067296762E-3</c:v>
                </c:pt>
                <c:pt idx="6">
                  <c:v>9.2573568601109005E-3</c:v>
                </c:pt>
                <c:pt idx="7">
                  <c:v>1.4809023541683435E-2</c:v>
                </c:pt>
                <c:pt idx="8">
                  <c:v>2.1890096423310731E-2</c:v>
                </c:pt>
                <c:pt idx="9">
                  <c:v>3.0568247627811324E-2</c:v>
                </c:pt>
                <c:pt idx="10">
                  <c:v>4.0871533605907936E-2</c:v>
                </c:pt>
                <c:pt idx="11">
                  <c:v>5.2808188179862922E-2</c:v>
                </c:pt>
                <c:pt idx="12">
                  <c:v>6.63864492233881E-2</c:v>
                </c:pt>
                <c:pt idx="13">
                  <c:v>8.16145586153883E-2</c:v>
                </c:pt>
                <c:pt idx="14">
                  <c:v>9.8500762193153998E-2</c:v>
                </c:pt>
                <c:pt idx="15">
                  <c:v>0.11705330970500193</c:v>
                </c:pt>
                <c:pt idx="16">
                  <c:v>0.1372804547623627</c:v>
                </c:pt>
                <c:pt idx="17">
                  <c:v>0.15919045479131422</c:v>
                </c:pt>
                <c:pt idx="18">
                  <c:v>0.18279157098356003</c:v>
                </c:pt>
                <c:pt idx="19">
                  <c:v>0.20809206824685145</c:v>
                </c:pt>
                <c:pt idx="20">
                  <c:v>0.23510021515485252</c:v>
                </c:pt>
                <c:pt idx="21">
                  <c:v>0.26382289470065923</c:v>
                </c:pt>
                <c:pt idx="22">
                  <c:v>0.29426351768210829</c:v>
                </c:pt>
                <c:pt idx="23">
                  <c:v>0.32642340731772723</c:v>
                </c:pt>
                <c:pt idx="24">
                  <c:v>0.36030388124494517</c:v>
                </c:pt>
                <c:pt idx="25">
                  <c:v>0.39590625149781145</c:v>
                </c:pt>
                <c:pt idx="26">
                  <c:v>0.43323182448477754</c:v>
                </c:pt>
                <c:pt idx="27">
                  <c:v>0.47228190096654271</c:v>
                </c:pt>
                <c:pt idx="28">
                  <c:v>0.51305777603396496</c:v>
                </c:pt>
                <c:pt idx="29">
                  <c:v>0.55556073908603731</c:v>
                </c:pt>
                <c:pt idx="30">
                  <c:v>0.59979207380793087</c:v>
                </c:pt>
                <c:pt idx="31">
                  <c:v>0.64575305814910544</c:v>
                </c:pt>
                <c:pt idx="32">
                  <c:v>0.69344496430148839</c:v>
                </c:pt>
                <c:pt idx="33">
                  <c:v>0.74286905867772235</c:v>
                </c:pt>
                <c:pt idx="34">
                  <c:v>0.79402660188948371</c:v>
                </c:pt>
                <c:pt idx="35">
                  <c:v>0.8469188487258712</c:v>
                </c:pt>
                <c:pt idx="36">
                  <c:v>0.90154704813186692</c:v>
                </c:pt>
                <c:pt idx="37">
                  <c:v>0.95791244318686963</c:v>
                </c:pt>
                <c:pt idx="38">
                  <c:v>1.0160162710833014</c:v>
                </c:pt>
                <c:pt idx="39">
                  <c:v>1.0758597631052891</c:v>
                </c:pt>
                <c:pt idx="40">
                  <c:v>1.1375668263422012</c:v>
                </c:pt>
                <c:pt idx="41">
                  <c:v>1.201265201035723</c:v>
                </c:pt>
                <c:pt idx="42">
                  <c:v>1.2669637546883101</c:v>
                </c:pt>
                <c:pt idx="43">
                  <c:v>1.3346712415320285</c:v>
                </c:pt>
                <c:pt idx="44">
                  <c:v>1.4043962474573402</c:v>
                </c:pt>
                <c:pt idx="45">
                  <c:v>1.4761471976216929</c:v>
                </c:pt>
                <c:pt idx="46">
                  <c:v>1.5499326787954384</c:v>
                </c:pt>
                <c:pt idx="47">
                  <c:v>1.6257615275377773</c:v>
                </c:pt>
                <c:pt idx="48">
                  <c:v>1.7036425240512161</c:v>
                </c:pt>
                <c:pt idx="49">
                  <c:v>1.7835843192078877</c:v>
                </c:pt>
                <c:pt idx="50">
                  <c:v>1.8655954397100327</c:v>
                </c:pt>
                <c:pt idx="51">
                  <c:v>1.9496842929255582</c:v>
                </c:pt>
                <c:pt idx="52">
                  <c:v>2.0358591714253347</c:v>
                </c:pt>
                <c:pt idx="53">
                  <c:v>2.1241282572461957</c:v>
                </c:pt>
                <c:pt idx="54">
                  <c:v>2.2144996259012402</c:v>
                </c:pt>
                <c:pt idx="55">
                  <c:v>2.3069812501569378</c:v>
                </c:pt>
                <c:pt idx="56">
                  <c:v>2.4015810035946887</c:v>
                </c:pt>
                <c:pt idx="57">
                  <c:v>2.4983066639728402</c:v>
                </c:pt>
                <c:pt idx="58">
                  <c:v>2.5971659164037026</c:v>
                </c:pt>
                <c:pt idx="59">
                  <c:v>2.6981663563587954</c:v>
                </c:pt>
                <c:pt idx="60">
                  <c:v>2.8013154925143899</c:v>
                </c:pt>
                <c:pt idx="61">
                  <c:v>2.9066207494483756</c:v>
                </c:pt>
                <c:pt idx="62">
                  <c:v>3.0140894701985257</c:v>
                </c:pt>
                <c:pt idx="63">
                  <c:v>3.1237289186914059</c:v>
                </c:pt>
                <c:pt idx="64">
                  <c:v>3.2355462820504073</c:v>
                </c:pt>
                <c:pt idx="65">
                  <c:v>3.3495486727906938</c:v>
                </c:pt>
                <c:pt idx="66">
                  <c:v>3.4657431309082396</c:v>
                </c:pt>
                <c:pt idx="67">
                  <c:v>3.5841366258695686</c:v>
                </c:pt>
                <c:pt idx="68">
                  <c:v>3.704736058508296</c:v>
                </c:pt>
                <c:pt idx="69">
                  <c:v>3.8275534704506349</c:v>
                </c:pt>
                <c:pt idx="70">
                  <c:v>3.9526083117432571</c:v>
                </c:pt>
                <c:pt idx="71">
                  <c:v>4.0799222744591308</c:v>
                </c:pt>
                <c:pt idx="72">
                  <c:v>4.2095170671093731</c:v>
                </c:pt>
                <c:pt idx="73">
                  <c:v>4.341414414512454</c:v>
                </c:pt>
                <c:pt idx="74">
                  <c:v>4.4756360576653886</c:v>
                </c:pt>
                <c:pt idx="75">
                  <c:v>4.6122037536167326</c:v>
                </c:pt>
                <c:pt idx="76">
                  <c:v>4.7511392753411856</c:v>
                </c:pt>
                <c:pt idx="77">
                  <c:v>4.8924546484056695</c:v>
                </c:pt>
                <c:pt idx="78">
                  <c:v>5.0361479081387284</c:v>
                </c:pt>
                <c:pt idx="79">
                  <c:v>5.1822127947459027</c:v>
                </c:pt>
                <c:pt idx="80">
                  <c:v>5.3306429293375519</c:v>
                </c:pt>
                <c:pt idx="81">
                  <c:v>5.4814318165783256</c:v>
                </c:pt>
                <c:pt idx="82">
                  <c:v>5.6345728472253356</c:v>
                </c:pt>
                <c:pt idx="83">
                  <c:v>5.7900593005617926</c:v>
                </c:pt>
                <c:pt idx="84">
                  <c:v>5.9478843467323781</c:v>
                </c:pt>
                <c:pt idx="85">
                  <c:v>6.1080410489861459</c:v>
                </c:pt>
                <c:pt idx="86">
                  <c:v>6.2705237122465123</c:v>
                </c:pt>
                <c:pt idx="87">
                  <c:v>6.4353332883934717</c:v>
                </c:pt>
                <c:pt idx="88">
                  <c:v>6.6024760612384696</c:v>
                </c:pt>
                <c:pt idx="89">
                  <c:v>6.7719582740490587</c:v>
                </c:pt>
                <c:pt idx="90">
                  <c:v>6.943786130258097</c:v>
                </c:pt>
                <c:pt idx="91">
                  <c:v>7.1179657941477554</c:v>
                </c:pt>
                <c:pt idx="92">
                  <c:v>7.2945033915094353</c:v>
                </c:pt>
                <c:pt idx="93">
                  <c:v>7.473405010280656</c:v>
                </c:pt>
                <c:pt idx="94">
                  <c:v>7.6546767011599073</c:v>
                </c:pt>
                <c:pt idx="95">
                  <c:v>7.8383244782004038</c:v>
                </c:pt>
                <c:pt idx="96">
                  <c:v>8.0243543193836349</c:v>
                </c:pt>
                <c:pt idx="97">
                  <c:v>8.2127721671735632</c:v>
                </c:pt>
                <c:pt idx="98">
                  <c:v>8.4035839290522656</c:v>
                </c:pt>
                <c:pt idx="99">
                  <c:v>8.5967954780377749</c:v>
                </c:pt>
                <c:pt idx="100">
                  <c:v>8.7924126531848632</c:v>
                </c:pt>
                <c:pt idx="101">
                  <c:v>8.9904412600694315</c:v>
                </c:pt>
                <c:pt idx="102">
                  <c:v>9.1908870712571744</c:v>
                </c:pt>
                <c:pt idx="103">
                  <c:v>9.3937558267571344</c:v>
                </c:pt>
                <c:pt idx="104">
                  <c:v>9.5990532344607331</c:v>
                </c:pt>
                <c:pt idx="105">
                  <c:v>9.8067849705668539</c:v>
                </c:pt>
                <c:pt idx="106">
                  <c:v>10.016956679993497</c:v>
                </c:pt>
                <c:pt idx="107">
                  <c:v>10.229573976776527</c:v>
                </c:pt>
                <c:pt idx="108">
                  <c:v>10.444642444456001</c:v>
                </c:pt>
                <c:pt idx="109">
                  <c:v>10.662167636450533</c:v>
                </c:pt>
                <c:pt idx="110">
                  <c:v>10.882155076420146</c:v>
                </c:pt>
                <c:pt idx="111">
                  <c:v>11.104610258618022</c:v>
                </c:pt>
                <c:pt idx="112">
                  <c:v>11.329538648231583</c:v>
                </c:pt>
                <c:pt idx="113">
                  <c:v>11.55694568171325</c:v>
                </c:pt>
                <c:pt idx="114">
                  <c:v>11.786836767101279</c:v>
                </c:pt>
                <c:pt idx="115">
                  <c:v>12.019217284331013</c:v>
                </c:pt>
                <c:pt idx="116">
                  <c:v>12.254092585536892</c:v>
                </c:pt>
                <c:pt idx="117">
                  <c:v>12.491467995345543</c:v>
                </c:pt>
                <c:pt idx="118">
                  <c:v>12.731348811160263</c:v>
                </c:pt>
                <c:pt idx="119">
                  <c:v>12.973740303437182</c:v>
                </c:pt>
                <c:pt idx="120">
                  <c:v>13.218647715953409</c:v>
                </c:pt>
                <c:pt idx="121">
                  <c:v>13.466076266067402</c:v>
                </c:pt>
                <c:pt idx="122">
                  <c:v>13.716031144971859</c:v>
                </c:pt>
                <c:pt idx="123">
                  <c:v>13.968517517939359</c:v>
                </c:pt>
                <c:pt idx="124">
                  <c:v>14.223540524560992</c:v>
                </c:pt>
                <c:pt idx="125">
                  <c:v>14.481105278978225</c:v>
                </c:pt>
                <c:pt idx="126">
                  <c:v>14.741216870108209</c:v>
                </c:pt>
                <c:pt idx="127">
                  <c:v>15.003880361862745</c:v>
                </c:pt>
                <c:pt idx="128">
                  <c:v>15.269100793361119</c:v>
                </c:pt>
                <c:pt idx="129">
                  <c:v>15.536883179137005</c:v>
                </c:pt>
                <c:pt idx="130">
                  <c:v>15.807232509339608</c:v>
                </c:pt>
                <c:pt idx="131">
                  <c:v>16.080153749929242</c:v>
                </c:pt>
                <c:pt idx="132">
                  <c:v>16.355651842867527</c:v>
                </c:pt>
                <c:pt idx="133">
                  <c:v>16.633731706302353</c:v>
                </c:pt>
                <c:pt idx="134">
                  <c:v>16.914398234747786</c:v>
                </c:pt>
                <c:pt idx="135">
                  <c:v>17.197656299259062</c:v>
                </c:pt>
                <c:pt idx="136">
                  <c:v>17.483510747602853</c:v>
                </c:pt>
                <c:pt idx="137">
                  <c:v>17.771966404422887</c:v>
                </c:pt>
                <c:pt idx="138">
                  <c:v>18.063028071401131</c:v>
                </c:pt>
                <c:pt idx="139">
                  <c:v>18.356700527414628</c:v>
                </c:pt>
                <c:pt idx="140">
                  <c:v>18.652988528688127</c:v>
                </c:pt>
                <c:pt idx="141">
                  <c:v>18.951896808942635</c:v>
                </c:pt>
                <c:pt idx="142">
                  <c:v>19.253430079540028</c:v>
                </c:pt>
                <c:pt idx="143">
                  <c:v>19.557593029623799</c:v>
                </c:pt>
                <c:pt idx="144">
                  <c:v>19.8643903262561</c:v>
                </c:pt>
                <c:pt idx="145">
                  <c:v>20.173826614551146</c:v>
                </c:pt>
                <c:pt idx="146">
                  <c:v>20.48590651780513</c:v>
                </c:pt>
                <c:pt idx="147">
                  <c:v>20.800634637622704</c:v>
                </c:pt>
                <c:pt idx="148">
                  <c:v>21.11801555404017</c:v>
                </c:pt>
                <c:pt idx="149">
                  <c:v>21.43805382564544</c:v>
                </c:pt>
                <c:pt idx="150">
                  <c:v>21.760753989694877</c:v>
                </c:pt>
                <c:pt idx="151">
                  <c:v>22.086120562227087</c:v>
                </c:pt>
                <c:pt idx="152">
                  <c:v>22.414158038173795</c:v>
                </c:pt>
                <c:pt idx="153">
                  <c:v>22.744870891467823</c:v>
                </c:pt>
                <c:pt idx="154">
                  <c:v>23.078263575148288</c:v>
                </c:pt>
                <c:pt idx="155">
                  <c:v>23.414340521463107</c:v>
                </c:pt>
                <c:pt idx="156">
                  <c:v>23.753106141968864</c:v>
                </c:pt>
                <c:pt idx="157">
                  <c:v>24.094564827628115</c:v>
                </c:pt>
                <c:pt idx="158">
                  <c:v>24.438720948904212</c:v>
                </c:pt>
                <c:pt idx="159">
                  <c:v>24.785578855853704</c:v>
                </c:pt>
                <c:pt idx="160">
                  <c:v>25.135142878216389</c:v>
                </c:pt>
                <c:pt idx="161">
                  <c:v>25.487417325503081</c:v>
                </c:pt>
                <c:pt idx="162">
                  <c:v>25.842406487081163</c:v>
                </c:pt>
                <c:pt idx="163">
                  <c:v>26.200114632257954</c:v>
                </c:pt>
                <c:pt idx="164">
                  <c:v>26.560546010361993</c:v>
                </c:pt>
                <c:pt idx="165">
                  <c:v>26.923704850822268</c:v>
                </c:pt>
                <c:pt idx="166">
                  <c:v>27.289595363245464</c:v>
                </c:pt>
                <c:pt idx="167">
                  <c:v>27.658221737491253</c:v>
                </c:pt>
                <c:pt idx="168">
                  <c:v>28.02958814374573</c:v>
                </c:pt>
                <c:pt idx="169">
                  <c:v>28.403698732592993</c:v>
                </c:pt>
                <c:pt idx="170">
                  <c:v>28.780557635084946</c:v>
                </c:pt>
                <c:pt idx="171">
                  <c:v>29.160168962809376</c:v>
                </c:pt>
                <c:pt idx="172">
                  <c:v>29.542536807956328</c:v>
                </c:pt>
                <c:pt idx="173">
                  <c:v>29.92766524338284</c:v>
                </c:pt>
                <c:pt idx="174">
                  <c:v>30.315558322676097</c:v>
                </c:pt>
                <c:pt idx="175">
                  <c:v>30.70622008021499</c:v>
                </c:pt>
                <c:pt idx="176">
                  <c:v>31.099654531230208</c:v>
                </c:pt>
                <c:pt idx="177">
                  <c:v>31.495865671862816</c:v>
                </c:pt>
                <c:pt idx="178">
                  <c:v>31.894857479221429</c:v>
                </c:pt>
                <c:pt idx="179">
                  <c:v>32.296633911437972</c:v>
                </c:pt>
                <c:pt idx="180">
                  <c:v>32.701198907722087</c:v>
                </c:pt>
                <c:pt idx="181">
                  <c:v>33.108556388414222</c:v>
                </c:pt>
                <c:pt idx="182">
                  <c:v>33.518710255037426</c:v>
                </c:pt>
                <c:pt idx="183">
                  <c:v>33.931664390347912</c:v>
                </c:pt>
                <c:pt idx="184">
                  <c:v>34.34742265838436</c:v>
                </c:pt>
                <c:pt idx="185">
                  <c:v>34.765988904516092</c:v>
                </c:pt>
                <c:pt idx="186">
                  <c:v>35.187366955490049</c:v>
                </c:pt>
                <c:pt idx="187">
                  <c:v>35.611560619476656</c:v>
                </c:pt>
                <c:pt idx="188">
                  <c:v>36.03857368611461</c:v>
                </c:pt>
                <c:pt idx="189">
                  <c:v>36.468409926554592</c:v>
                </c:pt>
                <c:pt idx="190">
                  <c:v>36.901073093501957</c:v>
                </c:pt>
                <c:pt idx="191">
                  <c:v>37.336566921258381</c:v>
                </c:pt>
                <c:pt idx="192">
                  <c:v>37.774895125762605</c:v>
                </c:pt>
                <c:pt idx="193">
                  <c:v>38.216061404630146</c:v>
                </c:pt>
                <c:pt idx="194">
                  <c:v>38.660069437192135</c:v>
                </c:pt>
                <c:pt idx="195">
                  <c:v>39.106922884533226</c:v>
                </c:pt>
                <c:pt idx="196">
                  <c:v>39.556625389528669</c:v>
                </c:pt>
                <c:pt idx="197">
                  <c:v>40.009180576880489</c:v>
                </c:pt>
                <c:pt idx="198">
                  <c:v>40.464592053152842</c:v>
                </c:pt>
                <c:pt idx="199">
                  <c:v>40.922863406806606</c:v>
                </c:pt>
                <c:pt idx="200">
                  <c:v>41.383998208233145</c:v>
                </c:pt>
                <c:pt idx="201">
                  <c:v>41.848000009787349</c:v>
                </c:pt>
                <c:pt idx="202">
                  <c:v>42.314872345819907</c:v>
                </c:pt>
                <c:pt idx="203">
                  <c:v>42.784618732708878</c:v>
                </c:pt>
                <c:pt idx="204">
                  <c:v>43.257242668890569</c:v>
                </c:pt>
                <c:pt idx="205">
                  <c:v>43.732747634889712</c:v>
                </c:pt>
                <c:pt idx="206">
                  <c:v>44.211137093349031</c:v>
                </c:pt>
                <c:pt idx="207">
                  <c:v>44.692414489058109</c:v>
                </c:pt>
                <c:pt idx="208">
                  <c:v>45.1765832489817</c:v>
                </c:pt>
                <c:pt idx="209">
                  <c:v>45.66364678228738</c:v>
                </c:pt>
                <c:pt idx="210">
                  <c:v>46.153608480372661</c:v>
                </c:pt>
                <c:pt idx="211">
                  <c:v>46.646471716891519</c:v>
                </c:pt>
                <c:pt idx="212">
                  <c:v>47.142239847780367</c:v>
                </c:pt>
                <c:pt idx="213">
                  <c:v>47.640916211283518</c:v>
                </c:pt>
                <c:pt idx="214">
                  <c:v>48.1425041279781</c:v>
                </c:pt>
                <c:pt idx="215">
                  <c:v>48.647006900798509</c:v>
                </c:pt>
                <c:pt idx="216">
                  <c:v>49.154427815060352</c:v>
                </c:pt>
                <c:pt idx="217">
                  <c:v>49.664770138483917</c:v>
                </c:pt>
                <c:pt idx="218">
                  <c:v>50.178037121217223</c:v>
                </c:pt>
                <c:pt idx="219">
                  <c:v>50.69423199585858</c:v>
                </c:pt>
                <c:pt idx="220">
                  <c:v>51.213357977478772</c:v>
                </c:pt>
                <c:pt idx="221">
                  <c:v>51.735418263642813</c:v>
                </c:pt>
                <c:pt idx="222">
                  <c:v>52.26041603443128</c:v>
                </c:pt>
                <c:pt idx="223">
                  <c:v>52.788354452461299</c:v>
                </c:pt>
                <c:pt idx="224">
                  <c:v>53.319236662907151</c:v>
                </c:pt>
                <c:pt idx="225">
                  <c:v>53.853065793520493</c:v>
                </c:pt>
                <c:pt idx="226">
                  <c:v>54.389844954650286</c:v>
                </c:pt>
                <c:pt idx="227">
                  <c:v>54.929577239262329</c:v>
                </c:pt>
                <c:pt idx="228">
                  <c:v>55.472265722958525</c:v>
                </c:pt>
                <c:pt idx="229">
                  <c:v>56.017913463995811</c:v>
                </c:pt>
                <c:pt idx="230">
                  <c:v>56.566523503304794</c:v>
                </c:pt>
                <c:pt idx="231">
                  <c:v>57.118098864508092</c:v>
                </c:pt>
                <c:pt idx="232">
                  <c:v>57.672642553938445</c:v>
                </c:pt>
                <c:pt idx="233">
                  <c:v>58.230157560656494</c:v>
                </c:pt>
                <c:pt idx="234">
                  <c:v>58.790646856468364</c:v>
                </c:pt>
                <c:pt idx="235">
                  <c:v>59.354113395942974</c:v>
                </c:pt>
                <c:pt idx="236">
                  <c:v>59.920560116429129</c:v>
                </c:pt>
                <c:pt idx="237">
                  <c:v>60.489989938072377</c:v>
                </c:pt>
                <c:pt idx="238">
                  <c:v>61.062405763831663</c:v>
                </c:pt>
                <c:pt idx="239">
                  <c:v>61.637810479495791</c:v>
                </c:pt>
                <c:pt idx="240">
                  <c:v>62.216206953699668</c:v>
                </c:pt>
                <c:pt idx="241">
                  <c:v>62.797598037940382</c:v>
                </c:pt>
                <c:pt idx="242">
                  <c:v>63.381986566593099</c:v>
                </c:pt>
                <c:pt idx="243">
                  <c:v>63.969375356926797</c:v>
                </c:pt>
                <c:pt idx="244">
                  <c:v>64.559773662734784</c:v>
                </c:pt>
                <c:pt idx="245">
                  <c:v>65.153197184769766</c:v>
                </c:pt>
                <c:pt idx="246">
                  <c:v>65.749661627470488</c:v>
                </c:pt>
                <c:pt idx="247">
                  <c:v>66.349182698790116</c:v>
                </c:pt>
                <c:pt idx="248">
                  <c:v>66.951776110024085</c:v>
                </c:pt>
                <c:pt idx="249">
                  <c:v>67.557457575637414</c:v>
                </c:pt>
                <c:pt idx="250">
                  <c:v>68.166242813091557</c:v>
                </c:pt>
                <c:pt idx="251">
                  <c:v>68.778147542670695</c:v>
                </c:pt>
                <c:pt idx="252">
                  <c:v>69.393187487307586</c:v>
                </c:pt>
                <c:pt idx="253">
                  <c:v>70.011374783929639</c:v>
                </c:pt>
                <c:pt idx="254">
                  <c:v>70.632714384993221</c:v>
                </c:pt>
                <c:pt idx="255">
                  <c:v>71.257207635395247</c:v>
                </c:pt>
                <c:pt idx="256">
                  <c:v>71.884855859307777</c:v>
                </c:pt>
                <c:pt idx="257">
                  <c:v>72.515660360225894</c:v>
                </c:pt>
                <c:pt idx="258">
                  <c:v>73.149622421015408</c:v>
                </c:pt>
                <c:pt idx="259">
                  <c:v>73.78674330396035</c:v>
                </c:pt>
                <c:pt idx="260">
                  <c:v>74.427024250810362</c:v>
                </c:pt>
                <c:pt idx="261">
                  <c:v>75.070466482827896</c:v>
                </c:pt>
                <c:pt idx="262">
                  <c:v>75.717071200835335</c:v>
                </c:pt>
                <c:pt idx="263">
                  <c:v>76.366839585261914</c:v>
                </c:pt>
                <c:pt idx="264">
                  <c:v>77.01977279619058</c:v>
                </c:pt>
                <c:pt idx="265">
                  <c:v>77.675871973404725</c:v>
                </c:pt>
                <c:pt idx="266">
                  <c:v>78.33513823643483</c:v>
                </c:pt>
                <c:pt idx="267">
                  <c:v>78.997572684604975</c:v>
                </c:pt>
                <c:pt idx="268">
                  <c:v>79.663176397079326</c:v>
                </c:pt>
                <c:pt idx="269">
                  <c:v>80.331950432908528</c:v>
                </c:pt>
                <c:pt idx="270">
                  <c:v>81.00389583107598</c:v>
                </c:pt>
                <c:pt idx="271">
                  <c:v>81.679013610544118</c:v>
                </c:pt>
                <c:pt idx="272">
                  <c:v>82.35730477030063</c:v>
                </c:pt>
                <c:pt idx="273">
                  <c:v>83.038770289404596</c:v>
                </c:pt>
                <c:pt idx="274">
                  <c:v>83.723411127032591</c:v>
                </c:pt>
                <c:pt idx="275">
                  <c:v>84.411228222524826</c:v>
                </c:pt>
                <c:pt idx="276">
                  <c:v>85.102222495431178</c:v>
                </c:pt>
                <c:pt idx="277">
                  <c:v>85.796394668512548</c:v>
                </c:pt>
                <c:pt idx="278">
                  <c:v>86.493745001686491</c:v>
                </c:pt>
                <c:pt idx="279">
                  <c:v>87.194273468519839</c:v>
                </c:pt>
                <c:pt idx="280">
                  <c:v>87.897980021786822</c:v>
                </c:pt>
                <c:pt idx="281">
                  <c:v>88.604864593535083</c:v>
                </c:pt>
                <c:pt idx="282">
                  <c:v>89.314927095151489</c:v>
                </c:pt>
                <c:pt idx="283">
                  <c:v>90.028167417428023</c:v>
                </c:pt>
                <c:pt idx="284">
                  <c:v>90.744585430627595</c:v>
                </c:pt>
                <c:pt idx="285">
                  <c:v>91.46418098454987</c:v>
                </c:pt>
                <c:pt idx="286">
                  <c:v>92.186953908597033</c:v>
                </c:pt>
                <c:pt idx="287">
                  <c:v>92.912904011839544</c:v>
                </c:pt>
                <c:pt idx="288">
                  <c:v>93.64203108308196</c:v>
                </c:pt>
                <c:pt idx="289">
                  <c:v>94.374334890928665</c:v>
                </c:pt>
                <c:pt idx="290">
                  <c:v>95.109815183849662</c:v>
                </c:pt>
                <c:pt idx="291">
                  <c:v>95.848471690246342</c:v>
                </c:pt>
                <c:pt idx="292">
                  <c:v>96.590304118517309</c:v>
                </c:pt>
                <c:pt idx="293">
                  <c:v>97.335312157124179</c:v>
                </c:pt>
                <c:pt idx="294">
                  <c:v>98.083495474657425</c:v>
                </c:pt>
                <c:pt idx="295">
                  <c:v>98.834853719902256</c:v>
                </c:pt>
                <c:pt idx="296">
                  <c:v>99.589386521904501</c:v>
                </c:pt>
                <c:pt idx="297">
                  <c:v>100.34709349003657</c:v>
                </c:pt>
                <c:pt idx="298">
                  <c:v>101.1079742140634</c:v>
                </c:pt>
                <c:pt idx="299">
                  <c:v>101.87202826420855</c:v>
                </c:pt>
                <c:pt idx="300">
                  <c:v>102.63925519122017</c:v>
                </c:pt>
                <c:pt idx="301">
                  <c:v>103.40965452643721</c:v>
                </c:pt>
                <c:pt idx="302">
                  <c:v>104.18322578185555</c:v>
                </c:pt>
                <c:pt idx="303">
                  <c:v>104.95996845019427</c:v>
                </c:pt>
                <c:pt idx="304">
                  <c:v>105.7398820049619</c:v>
                </c:pt>
                <c:pt idx="305">
                  <c:v>106.52296590052283</c:v>
                </c:pt>
                <c:pt idx="306">
                  <c:v>107.30921957216373</c:v>
                </c:pt>
                <c:pt idx="307">
                  <c:v>108.09864243616001</c:v>
                </c:pt>
                <c:pt idx="308">
                  <c:v>108.89123388984244</c:v>
                </c:pt>
                <c:pt idx="309">
                  <c:v>109.68699331166381</c:v>
                </c:pt>
                <c:pt idx="310">
                  <c:v>110.4859200612656</c:v>
                </c:pt>
                <c:pt idx="311">
                  <c:v>111.28801347954483</c:v>
                </c:pt>
                <c:pt idx="312">
                  <c:v>112.09327288872095</c:v>
                </c:pt>
                <c:pt idx="313">
                  <c:v>112.9016975924028</c:v>
                </c:pt>
                <c:pt idx="314">
                  <c:v>113.71328687565573</c:v>
                </c:pt>
                <c:pt idx="315">
                  <c:v>114.52804000506868</c:v>
                </c:pt>
                <c:pt idx="316">
                  <c:v>115.34595622882148</c:v>
                </c:pt>
                <c:pt idx="317">
                  <c:v>116.1670347767522</c:v>
                </c:pt>
                <c:pt idx="318">
                  <c:v>116.99127486042457</c:v>
                </c:pt>
                <c:pt idx="319">
                  <c:v>117.81867567319549</c:v>
                </c:pt>
                <c:pt idx="320">
                  <c:v>118.64923639028271</c:v>
                </c:pt>
                <c:pt idx="321">
                  <c:v>119.48295616883257</c:v>
                </c:pt>
                <c:pt idx="322">
                  <c:v>120.31983414798781</c:v>
                </c:pt>
                <c:pt idx="323">
                  <c:v>121.15986944895552</c:v>
                </c:pt>
                <c:pt idx="324">
                  <c:v>122.00306117507523</c:v>
                </c:pt>
                <c:pt idx="325">
                  <c:v>122.849408411887</c:v>
                </c:pt>
                <c:pt idx="326">
                  <c:v>123.69891022719972</c:v>
                </c:pt>
                <c:pt idx="327">
                  <c:v>124.55156567115949</c:v>
                </c:pt>
                <c:pt idx="328">
                  <c:v>125.40737377631811</c:v>
                </c:pt>
                <c:pt idx="329">
                  <c:v>126.26633355770163</c:v>
                </c:pt>
                <c:pt idx="330">
                  <c:v>127.12844401287909</c:v>
                </c:pt>
                <c:pt idx="331">
                  <c:v>127.99370412203132</c:v>
                </c:pt>
                <c:pt idx="332">
                  <c:v>128.8621128480199</c:v>
                </c:pt>
                <c:pt idx="333">
                  <c:v>129.7336691364562</c:v>
                </c:pt>
                <c:pt idx="334">
                  <c:v>130.60837191577048</c:v>
                </c:pt>
                <c:pt idx="335">
                  <c:v>131.48622009728126</c:v>
                </c:pt>
                <c:pt idx="336">
                  <c:v>132.36721257526463</c:v>
                </c:pt>
                <c:pt idx="337">
                  <c:v>133.25134822702384</c:v>
                </c:pt>
                <c:pt idx="338">
                  <c:v>134.13862591295884</c:v>
                </c:pt>
                <c:pt idx="339">
                  <c:v>135.02904447663607</c:v>
                </c:pt>
                <c:pt idx="340">
                  <c:v>135.92260274485835</c:v>
                </c:pt>
                <c:pt idx="341">
                  <c:v>136.81929952773478</c:v>
                </c:pt>
                <c:pt idx="342">
                  <c:v>137.7191336187509</c:v>
                </c:pt>
                <c:pt idx="343">
                  <c:v>138.62210379483886</c:v>
                </c:pt>
                <c:pt idx="344">
                  <c:v>139.52820897052754</c:v>
                </c:pt>
                <c:pt idx="345">
                  <c:v>140.43744958628713</c:v>
                </c:pt>
                <c:pt idx="346">
                  <c:v>141.34982745572242</c:v>
                </c:pt>
                <c:pt idx="347">
                  <c:v>142.26534437854255</c:v>
                </c:pt>
                <c:pt idx="348">
                  <c:v>143.18400214057374</c:v>
                </c:pt>
                <c:pt idx="349">
                  <c:v>144.1058025137722</c:v>
                </c:pt>
                <c:pt idx="350">
                  <c:v>145.03074725623739</c:v>
                </c:pt>
                <c:pt idx="351">
                  <c:v>145.95883811222538</c:v>
                </c:pt>
                <c:pt idx="352">
                  <c:v>146.89007681216253</c:v>
                </c:pt>
                <c:pt idx="353">
                  <c:v>147.82446507265939</c:v>
                </c:pt>
                <c:pt idx="354">
                  <c:v>148.76200459652486</c:v>
                </c:pt>
                <c:pt idx="355">
                  <c:v>149.70269707278052</c:v>
                </c:pt>
                <c:pt idx="356">
                  <c:v>150.64654417667532</c:v>
                </c:pt>
                <c:pt idx="357">
                  <c:v>151.59354756970038</c:v>
                </c:pt>
                <c:pt idx="358">
                  <c:v>152.5437088996041</c:v>
                </c:pt>
                <c:pt idx="359">
                  <c:v>153.49702980040755</c:v>
                </c:pt>
                <c:pt idx="360">
                  <c:v>154.45351189242001</c:v>
                </c:pt>
                <c:pt idx="361">
                  <c:v>155.41315678225482</c:v>
                </c:pt>
                <c:pt idx="362">
                  <c:v>156.37596606284546</c:v>
                </c:pt>
                <c:pt idx="363">
                  <c:v>157.34194131346183</c:v>
                </c:pt>
                <c:pt idx="364">
                  <c:v>158.31108409972688</c:v>
                </c:pt>
                <c:pt idx="365">
                  <c:v>159.28339597363336</c:v>
                </c:pt>
                <c:pt idx="366">
                  <c:v>160.25887847356091</c:v>
                </c:pt>
                <c:pt idx="367">
                  <c:v>161.23753312429338</c:v>
                </c:pt>
                <c:pt idx="368">
                  <c:v>162.2193614370363</c:v>
                </c:pt>
                <c:pt idx="369">
                  <c:v>163.20436490943476</c:v>
                </c:pt>
                <c:pt idx="370">
                  <c:v>164.19254502559141</c:v>
                </c:pt>
                <c:pt idx="371">
                  <c:v>165.18390325608479</c:v>
                </c:pt>
                <c:pt idx="372">
                  <c:v>166.17844105798781</c:v>
                </c:pt>
                <c:pt idx="373">
                  <c:v>167.17615885336673</c:v>
                </c:pt>
                <c:pt idx="374">
                  <c:v>168.17705602868236</c:v>
                </c:pt>
                <c:pt idx="375">
                  <c:v>169.18113195572974</c:v>
                </c:pt>
                <c:pt idx="376">
                  <c:v>170.18838599169445</c:v>
                </c:pt>
                <c:pt idx="377">
                  <c:v>171.19881747920888</c:v>
                </c:pt>
                <c:pt idx="378">
                  <c:v>172.21242574640885</c:v>
                </c:pt>
                <c:pt idx="379">
                  <c:v>173.22921010699031</c:v>
                </c:pt>
                <c:pt idx="380">
                  <c:v>174.24916986026628</c:v>
                </c:pt>
                <c:pt idx="381">
                  <c:v>175.27230429122395</c:v>
                </c:pt>
                <c:pt idx="382">
                  <c:v>176.29861267058192</c:v>
                </c:pt>
                <c:pt idx="383">
                  <c:v>177.32809425484766</c:v>
                </c:pt>
                <c:pt idx="384">
                  <c:v>178.36074828637501</c:v>
                </c:pt>
                <c:pt idx="385">
                  <c:v>179.39657399342215</c:v>
                </c:pt>
                <c:pt idx="386">
                  <c:v>180.43557059020935</c:v>
                </c:pt>
                <c:pt idx="387">
                  <c:v>181.47773727697719</c:v>
                </c:pt>
                <c:pt idx="388">
                  <c:v>182.52307324004482</c:v>
                </c:pt>
                <c:pt idx="389">
                  <c:v>183.57157765186844</c:v>
                </c:pt>
                <c:pt idx="390">
                  <c:v>184.62324967109984</c:v>
                </c:pt>
                <c:pt idx="391">
                  <c:v>185.67808844264525</c:v>
                </c:pt>
                <c:pt idx="392">
                  <c:v>186.73609309772425</c:v>
                </c:pt>
                <c:pt idx="393">
                  <c:v>187.79726275392892</c:v>
                </c:pt>
                <c:pt idx="394">
                  <c:v>188.86159651528303</c:v>
                </c:pt>
                <c:pt idx="395">
                  <c:v>189.92909347230153</c:v>
                </c:pt>
                <c:pt idx="396">
                  <c:v>190.99975270205016</c:v>
                </c:pt>
                <c:pt idx="397">
                  <c:v>192.07357326820508</c:v>
                </c:pt>
                <c:pt idx="398">
                  <c:v>193.15055422111294</c:v>
                </c:pt>
                <c:pt idx="399">
                  <c:v>194.23069459785077</c:v>
                </c:pt>
                <c:pt idx="400">
                  <c:v>195.3139934222863</c:v>
                </c:pt>
                <c:pt idx="401">
                  <c:v>196.40044970513833</c:v>
                </c:pt>
                <c:pt idx="402">
                  <c:v>197.49006244403716</c:v>
                </c:pt>
                <c:pt idx="403">
                  <c:v>198.58283062358538</c:v>
                </c:pt>
                <c:pt idx="404">
                  <c:v>199.67875321541857</c:v>
                </c:pt>
                <c:pt idx="405">
                  <c:v>200.77782917826633</c:v>
                </c:pt>
                <c:pt idx="406">
                  <c:v>201.8800574580134</c:v>
                </c:pt>
                <c:pt idx="407">
                  <c:v>202.98543698776086</c:v>
                </c:pt>
                <c:pt idx="408">
                  <c:v>204.09396668788759</c:v>
                </c:pt>
                <c:pt idx="409">
                  <c:v>205.20564429560571</c:v>
                </c:pt>
                <c:pt idx="410">
                  <c:v>206.32046607168783</c:v>
                </c:pt>
                <c:pt idx="411">
                  <c:v>207.43842797055339</c:v>
                </c:pt>
                <c:pt idx="412">
                  <c:v>208.55952593321166</c:v>
                </c:pt>
                <c:pt idx="413">
                  <c:v>209.68375588738078</c:v>
                </c:pt>
                <c:pt idx="414">
                  <c:v>210.81111374760656</c:v>
                </c:pt>
                <c:pt idx="415">
                  <c:v>211.9415954153813</c:v>
                </c:pt>
                <c:pt idx="416">
                  <c:v>213.07519677926237</c:v>
                </c:pt>
                <c:pt idx="417">
                  <c:v>214.21191371499089</c:v>
                </c:pt>
                <c:pt idx="418">
                  <c:v>215.35174208561008</c:v>
                </c:pt>
                <c:pt idx="419">
                  <c:v>216.49467774158373</c:v>
                </c:pt>
                <c:pt idx="420">
                  <c:v>217.6407165209144</c:v>
                </c:pt>
                <c:pt idx="421">
                  <c:v>218.78985424926157</c:v>
                </c:pt>
                <c:pt idx="422">
                  <c:v>219.94208674005969</c:v>
                </c:pt>
                <c:pt idx="423">
                  <c:v>221.09740979463615</c:v>
                </c:pt>
                <c:pt idx="424">
                  <c:v>222.25581920232895</c:v>
                </c:pt>
                <c:pt idx="425">
                  <c:v>223.41731074060451</c:v>
                </c:pt>
                <c:pt idx="426">
                  <c:v>224.58188017517512</c:v>
                </c:pt>
                <c:pt idx="427">
                  <c:v>225.7495232601164</c:v>
                </c:pt>
                <c:pt idx="428">
                  <c:v>226.92023573798465</c:v>
                </c:pt>
                <c:pt idx="429">
                  <c:v>228.09401333993384</c:v>
                </c:pt>
                <c:pt idx="430">
                  <c:v>229.27085178583278</c:v>
                </c:pt>
                <c:pt idx="431">
                  <c:v>230.45074678438189</c:v>
                </c:pt>
                <c:pt idx="432">
                  <c:v>231.63369403323</c:v>
                </c:pt>
                <c:pt idx="433">
                  <c:v>232.8196892190908</c:v>
                </c:pt>
                <c:pt idx="434">
                  <c:v>234.0087280178594</c:v>
                </c:pt>
                <c:pt idx="435">
                  <c:v>235.20080609472851</c:v>
                </c:pt>
                <c:pt idx="436">
                  <c:v>236.39591910430451</c:v>
                </c:pt>
                <c:pt idx="437">
                  <c:v>237.59406269072352</c:v>
                </c:pt>
                <c:pt idx="438">
                  <c:v>238.79523248776704</c:v>
                </c:pt>
                <c:pt idx="439">
                  <c:v>239.99942411897763</c:v>
                </c:pt>
                <c:pt idx="440">
                  <c:v>241.20663319777435</c:v>
                </c:pt>
                <c:pt idx="441">
                  <c:v>242.41685532756799</c:v>
                </c:pt>
                <c:pt idx="442">
                  <c:v>243.63008610187617</c:v>
                </c:pt>
                <c:pt idx="443">
                  <c:v>244.8463211044382</c:v>
                </c:pt>
                <c:pt idx="444">
                  <c:v>246.0655559093299</c:v>
                </c:pt>
                <c:pt idx="445">
                  <c:v>247.28778608107797</c:v>
                </c:pt>
                <c:pt idx="446">
                  <c:v>248.51300717477446</c:v>
                </c:pt>
                <c:pt idx="447">
                  <c:v>249.74121473619087</c:v>
                </c:pt>
                <c:pt idx="448">
                  <c:v>250.97240430189206</c:v>
                </c:pt>
                <c:pt idx="449">
                  <c:v>252.20657139935003</c:v>
                </c:pt>
                <c:pt idx="450">
                  <c:v>253.44371154705749</c:v>
                </c:pt>
                <c:pt idx="451">
                  <c:v>254.68382025464109</c:v>
                </c:pt>
                <c:pt idx="452">
                  <c:v>255.9268930229747</c:v>
                </c:pt>
                <c:pt idx="453">
                  <c:v>257.17292534429214</c:v>
                </c:pt>
                <c:pt idx="454">
                  <c:v>258.42191270230001</c:v>
                </c:pt>
                <c:pt idx="455">
                  <c:v>259.67385057229006</c:v>
                </c:pt>
                <c:pt idx="456">
                  <c:v>260.92873442125165</c:v>
                </c:pt>
                <c:pt idx="457">
                  <c:v>262.18655970798346</c:v>
                </c:pt>
                <c:pt idx="458">
                  <c:v>263.44732188320557</c:v>
                </c:pt>
                <c:pt idx="459">
                  <c:v>264.71101638967087</c:v>
                </c:pt>
                <c:pt idx="460">
                  <c:v>265.97763866227649</c:v>
                </c:pt>
                <c:pt idx="461">
                  <c:v>267.24718412817481</c:v>
                </c:pt>
                <c:pt idx="462">
                  <c:v>268.51964820688437</c:v>
                </c:pt>
                <c:pt idx="463">
                  <c:v>269.79502631040049</c:v>
                </c:pt>
                <c:pt idx="464">
                  <c:v>271.07331384330558</c:v>
                </c:pt>
                <c:pt idx="465">
                  <c:v>272.35450620287941</c:v>
                </c:pt>
                <c:pt idx="466">
                  <c:v>273.63859877920873</c:v>
                </c:pt>
                <c:pt idx="467">
                  <c:v>274.92558695529709</c:v>
                </c:pt>
                <c:pt idx="468">
                  <c:v>276.21546610717417</c:v>
                </c:pt>
                <c:pt idx="469">
                  <c:v>277.50823160400472</c:v>
                </c:pt>
                <c:pt idx="470">
                  <c:v>278.80387880819762</c:v>
                </c:pt>
                <c:pt idx="471">
                  <c:v>280.1024030755143</c:v>
                </c:pt>
                <c:pt idx="472">
                  <c:v>281.40379975517709</c:v>
                </c:pt>
                <c:pt idx="473">
                  <c:v>282.70806418997716</c:v>
                </c:pt>
                <c:pt idx="474">
                  <c:v>284.01519171638245</c:v>
                </c:pt>
                <c:pt idx="475">
                  <c:v>285.32517766464491</c:v>
                </c:pt>
                <c:pt idx="476">
                  <c:v>286.63801735890792</c:v>
                </c:pt>
                <c:pt idx="477">
                  <c:v>287.95370611731306</c:v>
                </c:pt>
                <c:pt idx="478">
                  <c:v>289.27223925210683</c:v>
                </c:pt>
                <c:pt idx="479">
                  <c:v>290.59361206974688</c:v>
                </c:pt>
                <c:pt idx="480">
                  <c:v>291.91781987100819</c:v>
                </c:pt>
                <c:pt idx="481">
                  <c:v>293.24485795108882</c:v>
                </c:pt>
                <c:pt idx="482">
                  <c:v>294.57472159971519</c:v>
                </c:pt>
                <c:pt idx="483">
                  <c:v>295.90740610124749</c:v>
                </c:pt>
                <c:pt idx="484">
                  <c:v>297.24290673478436</c:v>
                </c:pt>
                <c:pt idx="485">
                  <c:v>298.5812187742676</c:v>
                </c:pt>
                <c:pt idx="486">
                  <c:v>299.92233748858632</c:v>
                </c:pt>
                <c:pt idx="487">
                  <c:v>301.26625814168096</c:v>
                </c:pt>
                <c:pt idx="488">
                  <c:v>302.61297599264685</c:v>
                </c:pt>
                <c:pt idx="489">
                  <c:v>303.96248629583761</c:v>
                </c:pt>
                <c:pt idx="490">
                  <c:v>305.31478430096814</c:v>
                </c:pt>
                <c:pt idx="491">
                  <c:v>306.66986525321732</c:v>
                </c:pt>
                <c:pt idx="492">
                  <c:v>308.0277243933304</c:v>
                </c:pt>
                <c:pt idx="493">
                  <c:v>309.38835695772099</c:v>
                </c:pt>
                <c:pt idx="494">
                  <c:v>310.75175817857286</c:v>
                </c:pt>
                <c:pt idx="495">
                  <c:v>312.11792328394131</c:v>
                </c:pt>
                <c:pt idx="496">
                  <c:v>313.48684749785428</c:v>
                </c:pt>
                <c:pt idx="497">
                  <c:v>314.85852565295676</c:v>
                </c:pt>
                <c:pt idx="498">
                  <c:v>316.23295180289512</c:v>
                </c:pt>
                <c:pt idx="499">
                  <c:v>317.61011961014782</c:v>
                </c:pt>
                <c:pt idx="500">
                  <c:v>318.99002273412873</c:v>
                </c:pt>
                <c:pt idx="501">
                  <c:v>320.3726548313133</c:v>
                </c:pt>
                <c:pt idx="502">
                  <c:v>321.75800955536403</c:v>
                </c:pt>
                <c:pt idx="503">
                  <c:v>323.14608055725535</c:v>
                </c:pt>
                <c:pt idx="504">
                  <c:v>324.53686148539811</c:v>
                </c:pt>
                <c:pt idx="505">
                  <c:v>325.93034598576349</c:v>
                </c:pt>
                <c:pt idx="506">
                  <c:v>327.32652770200633</c:v>
                </c:pt>
                <c:pt idx="507">
                  <c:v>328.72540027558779</c:v>
                </c:pt>
                <c:pt idx="508">
                  <c:v>330.12695734589761</c:v>
                </c:pt>
                <c:pt idx="509">
                  <c:v>331.53119255037575</c:v>
                </c:pt>
                <c:pt idx="510">
                  <c:v>332.93809952463346</c:v>
                </c:pt>
                <c:pt idx="511">
                  <c:v>334.34767190257384</c:v>
                </c:pt>
                <c:pt idx="512">
                  <c:v>335.75990331651184</c:v>
                </c:pt>
                <c:pt idx="513">
                  <c:v>337.17478739729347</c:v>
                </c:pt>
                <c:pt idx="514">
                  <c:v>338.59231777441482</c:v>
                </c:pt>
                <c:pt idx="515">
                  <c:v>340.01248807614019</c:v>
                </c:pt>
                <c:pt idx="516">
                  <c:v>341.43529192961984</c:v>
                </c:pt>
                <c:pt idx="517">
                  <c:v>342.86072296100696</c:v>
                </c:pt>
                <c:pt idx="518">
                  <c:v>344.28877479557428</c:v>
                </c:pt>
                <c:pt idx="519">
                  <c:v>345.71944105783007</c:v>
                </c:pt>
                <c:pt idx="520">
                  <c:v>347.15271537163335</c:v>
                </c:pt>
                <c:pt idx="521">
                  <c:v>348.58859136030878</c:v>
                </c:pt>
                <c:pt idx="522">
                  <c:v>350.02706264676084</c:v>
                </c:pt>
                <c:pt idx="523">
                  <c:v>351.46812285358737</c:v>
                </c:pt>
                <c:pt idx="524">
                  <c:v>352.91176560319269</c:v>
                </c:pt>
                <c:pt idx="525">
                  <c:v>354.35798451789992</c:v>
                </c:pt>
                <c:pt idx="526">
                  <c:v>355.80677322006289</c:v>
                </c:pt>
                <c:pt idx="527">
                  <c:v>357.25812533217737</c:v>
                </c:pt>
                <c:pt idx="528">
                  <c:v>358.71203447699168</c:v>
                </c:pt>
                <c:pt idx="529">
                  <c:v>360.16849427761679</c:v>
                </c:pt>
                <c:pt idx="530">
                  <c:v>361.62749835763583</c:v>
                </c:pt>
                <c:pt idx="531">
                  <c:v>363.08904034121286</c:v>
                </c:pt>
                <c:pt idx="532">
                  <c:v>364.55311385320113</c:v>
                </c:pt>
                <c:pt idx="533">
                  <c:v>366.01971251925079</c:v>
                </c:pt>
                <c:pt idx="534">
                  <c:v>367.48882996591595</c:v>
                </c:pt>
                <c:pt idx="535">
                  <c:v>368.96045982076112</c:v>
                </c:pt>
                <c:pt idx="536">
                  <c:v>370.43459571246706</c:v>
                </c:pt>
                <c:pt idx="537">
                  <c:v>371.91123127093607</c:v>
                </c:pt>
                <c:pt idx="538">
                  <c:v>373.3903601273966</c:v>
                </c:pt>
                <c:pt idx="539">
                  <c:v>374.87197591450723</c:v>
                </c:pt>
                <c:pt idx="540">
                  <c:v>376.35607226646022</c:v>
                </c:pt>
                <c:pt idx="541">
                  <c:v>377.84264281908418</c:v>
                </c:pt>
                <c:pt idx="542">
                  <c:v>379.33168120994645</c:v>
                </c:pt>
                <c:pt idx="543">
                  <c:v>380.82318107845452</c:v>
                </c:pt>
                <c:pt idx="544">
                  <c:v>382.31713606595719</c:v>
                </c:pt>
                <c:pt idx="545">
                  <c:v>383.81353981584482</c:v>
                </c:pt>
                <c:pt idx="546">
                  <c:v>385.3123859736491</c:v>
                </c:pt>
                <c:pt idx="547">
                  <c:v>386.81366818714224</c:v>
                </c:pt>
                <c:pt idx="548">
                  <c:v>388.31738010643551</c:v>
                </c:pt>
                <c:pt idx="549">
                  <c:v>389.82351538407715</c:v>
                </c:pt>
                <c:pt idx="550">
                  <c:v>391.33206740907536</c:v>
                </c:pt>
                <c:pt idx="551">
                  <c:v>392.84302868573388</c:v>
                </c:pt>
                <c:pt idx="552">
                  <c:v>394.3563911004893</c:v>
                </c:pt>
                <c:pt idx="553">
                  <c:v>395.87214654394819</c:v>
                </c:pt>
                <c:pt idx="554">
                  <c:v>397.39028691100901</c:v>
                </c:pt>
                <c:pt idx="555">
                  <c:v>398.91080410098306</c:v>
                </c:pt>
                <c:pt idx="556">
                  <c:v>400.4336900177147</c:v>
                </c:pt>
                <c:pt idx="557">
                  <c:v>401.95893656970037</c:v>
                </c:pt>
                <c:pt idx="558">
                  <c:v>403.48653567020705</c:v>
                </c:pt>
                <c:pt idx="559">
                  <c:v>405.01647923738955</c:v>
                </c:pt>
                <c:pt idx="560">
                  <c:v>406.54875919440695</c:v>
                </c:pt>
                <c:pt idx="561">
                  <c:v>408.0833674695383</c:v>
                </c:pt>
                <c:pt idx="562">
                  <c:v>409.62029599629727</c:v>
                </c:pt>
                <c:pt idx="563">
                  <c:v>411.15953671354595</c:v>
                </c:pt>
                <c:pt idx="564">
                  <c:v>412.70108156560758</c:v>
                </c:pt>
                <c:pt idx="565">
                  <c:v>414.24492250237881</c:v>
                </c:pt>
                <c:pt idx="566">
                  <c:v>415.79105147944051</c:v>
                </c:pt>
                <c:pt idx="567">
                  <c:v>417.33946045816816</c:v>
                </c:pt>
                <c:pt idx="568">
                  <c:v>418.89014140584101</c:v>
                </c:pt>
                <c:pt idx="569">
                  <c:v>420.44308629575056</c:v>
                </c:pt>
                <c:pt idx="570">
                  <c:v>421.99828710730793</c:v>
                </c:pt>
                <c:pt idx="571">
                  <c:v>423.55573582615062</c:v>
                </c:pt>
                <c:pt idx="572">
                  <c:v>425.11542444424805</c:v>
                </c:pt>
                <c:pt idx="573">
                  <c:v>426.67734496000639</c:v>
                </c:pt>
                <c:pt idx="574">
                  <c:v>428.24148937837265</c:v>
                </c:pt>
                <c:pt idx="575">
                  <c:v>429.80784971093749</c:v>
                </c:pt>
                <c:pt idx="576">
                  <c:v>431.37641797603743</c:v>
                </c:pt>
                <c:pt idx="577">
                  <c:v>432.947186198856</c:v>
                </c:pt>
                <c:pt idx="578">
                  <c:v>434.52014641152425</c:v>
                </c:pt>
                <c:pt idx="579">
                  <c:v>436.09529065322005</c:v>
                </c:pt>
                <c:pt idx="580">
                  <c:v>437.67261097026676</c:v>
                </c:pt>
                <c:pt idx="581">
                  <c:v>439.25209941623081</c:v>
                </c:pt>
                <c:pt idx="582">
                  <c:v>440.83374805201856</c:v>
                </c:pt>
                <c:pt idx="583">
                  <c:v>442.41754894597221</c:v>
                </c:pt>
                <c:pt idx="584">
                  <c:v>444.00349417396484</c:v>
                </c:pt>
                <c:pt idx="585">
                  <c:v>445.59157581949449</c:v>
                </c:pt>
                <c:pt idx="586">
                  <c:v>447.18178597377749</c:v>
                </c:pt>
                <c:pt idx="587">
                  <c:v>448.77411673584083</c:v>
                </c:pt>
                <c:pt idx="588">
                  <c:v>450.36856021261366</c:v>
                </c:pt>
                <c:pt idx="589">
                  <c:v>451.96510851901792</c:v>
                </c:pt>
                <c:pt idx="590">
                  <c:v>453.56375377805813</c:v>
                </c:pt>
                <c:pt idx="591">
                  <c:v>455.16448812091022</c:v>
                </c:pt>
                <c:pt idx="592">
                  <c:v>456.7673036870097</c:v>
                </c:pt>
                <c:pt idx="593">
                  <c:v>458.37219262413862</c:v>
                </c:pt>
                <c:pt idx="594">
                  <c:v>459.97914708851198</c:v>
                </c:pt>
                <c:pt idx="595">
                  <c:v>461.58815924486311</c:v>
                </c:pt>
                <c:pt idx="596">
                  <c:v>463.19922126652818</c:v>
                </c:pt>
                <c:pt idx="597">
                  <c:v>464.81232533553003</c:v>
                </c:pt>
                <c:pt idx="598">
                  <c:v>466.42746364266083</c:v>
                </c:pt>
                <c:pt idx="599">
                  <c:v>468.04462838756422</c:v>
                </c:pt>
                <c:pt idx="600">
                  <c:v>469.6638117788163</c:v>
                </c:pt>
                <c:pt idx="601">
                  <c:v>471.28500603400607</c:v>
                </c:pt>
                <c:pt idx="602">
                  <c:v>472.90820337981467</c:v>
                </c:pt>
                <c:pt idx="603">
                  <c:v>474.53339605209402</c:v>
                </c:pt>
                <c:pt idx="604">
                  <c:v>476.16057629594457</c:v>
                </c:pt>
                <c:pt idx="605">
                  <c:v>477.78973636579218</c:v>
                </c:pt>
                <c:pt idx="606">
                  <c:v>479.42086852546419</c:v>
                </c:pt>
                <c:pt idx="607">
                  <c:v>481.0539650482645</c:v>
                </c:pt>
                <c:pt idx="608">
                  <c:v>482.68901821704804</c:v>
                </c:pt>
                <c:pt idx="609">
                  <c:v>484.32602032429423</c:v>
                </c:pt>
                <c:pt idx="610">
                  <c:v>485.96496367217981</c:v>
                </c:pt>
                <c:pt idx="611">
                  <c:v>487.60584057265049</c:v>
                </c:pt>
                <c:pt idx="612">
                  <c:v>489.24864094450538</c:v>
                </c:pt>
                <c:pt idx="613">
                  <c:v>490.89335231635147</c:v>
                </c:pt>
                <c:pt idx="614">
                  <c:v>492.53996223257684</c:v>
                </c:pt>
                <c:pt idx="615">
                  <c:v>494.18845825348336</c:v>
                </c:pt>
                <c:pt idx="616">
                  <c:v>495.83882795541768</c:v>
                </c:pt>
                <c:pt idx="617">
                  <c:v>497.49105893090064</c:v>
                </c:pt>
                <c:pt idx="618">
                  <c:v>499.14513878875442</c:v>
                </c:pt>
                <c:pt idx="619">
                  <c:v>500.80105515422838</c:v>
                </c:pt>
                <c:pt idx="620">
                  <c:v>502.45879566912294</c:v>
                </c:pt>
                <c:pt idx="621">
                  <c:v>504.11834799191155</c:v>
                </c:pt>
                <c:pt idx="622">
                  <c:v>505.7796997978611</c:v>
                </c:pt>
                <c:pt idx="623">
                  <c:v>507.44283877915058</c:v>
                </c:pt>
                <c:pt idx="624">
                  <c:v>509.10775264498767</c:v>
                </c:pt>
                <c:pt idx="625">
                  <c:v>510.77442912172404</c:v>
                </c:pt>
                <c:pt idx="626">
                  <c:v>512.44285595296856</c:v>
                </c:pt>
                <c:pt idx="627">
                  <c:v>514.11302089969899</c:v>
                </c:pt>
                <c:pt idx="628">
                  <c:v>515.78491174037185</c:v>
                </c:pt>
                <c:pt idx="629">
                  <c:v>517.45851627103048</c:v>
                </c:pt>
                <c:pt idx="630">
                  <c:v>519.13382230541174</c:v>
                </c:pt>
                <c:pt idx="631">
                  <c:v>520.81081767505043</c:v>
                </c:pt>
                <c:pt idx="632">
                  <c:v>522.4894902293828</c:v>
                </c:pt>
                <c:pt idx="633">
                  <c:v>524.1698278358474</c:v>
                </c:pt>
                <c:pt idx="634">
                  <c:v>525.85181837998527</c:v>
                </c:pt>
                <c:pt idx="635">
                  <c:v>527.53544976553769</c:v>
                </c:pt>
                <c:pt idx="636">
                  <c:v>529.22070991454257</c:v>
                </c:pt>
                <c:pt idx="637">
                  <c:v>530.90758676742917</c:v>
                </c:pt>
                <c:pt idx="638">
                  <c:v>532.59606828311121</c:v>
                </c:pt>
                <c:pt idx="639">
                  <c:v>534.28614243907828</c:v>
                </c:pt>
                <c:pt idx="640">
                  <c:v>535.97779723148551</c:v>
                </c:pt>
                <c:pt idx="641">
                  <c:v>537.67102067524195</c:v>
                </c:pt>
                <c:pt idx="642">
                  <c:v>539.36580080409692</c:v>
                </c:pt>
                <c:pt idx="643">
                  <c:v>541.06212567072498</c:v>
                </c:pt>
                <c:pt idx="644">
                  <c:v>542.75998334680924</c:v>
                </c:pt>
                <c:pt idx="645">
                  <c:v>544.4593619231232</c:v>
                </c:pt>
                <c:pt idx="646">
                  <c:v>546.16024279512942</c:v>
                </c:pt>
                <c:pt idx="647">
                  <c:v>547.86259992640112</c:v>
                </c:pt>
                <c:pt idx="648">
                  <c:v>549.56640657451646</c:v>
                </c:pt>
                <c:pt idx="649">
                  <c:v>551.27163603926397</c:v>
                </c:pt>
                <c:pt idx="650">
                  <c:v>552.97826166298705</c:v>
                </c:pt>
                <c:pt idx="651">
                  <c:v>554.68625683092239</c:v>
                </c:pt>
                <c:pt idx="652">
                  <c:v>556.39559497153061</c:v>
                </c:pt>
                <c:pt idx="653">
                  <c:v>558.10624955682113</c:v>
                </c:pt>
                <c:pt idx="654">
                  <c:v>559.81819410266928</c:v>
                </c:pt>
                <c:pt idx="655">
                  <c:v>561.53140216912766</c:v>
                </c:pt>
                <c:pt idx="656">
                  <c:v>563.24584736073018</c:v>
                </c:pt>
                <c:pt idx="657">
                  <c:v>564.96150332678963</c:v>
                </c:pt>
                <c:pt idx="658">
                  <c:v>566.67834376168867</c:v>
                </c:pt>
                <c:pt idx="659">
                  <c:v>568.39634240516432</c:v>
                </c:pt>
                <c:pt idx="660">
                  <c:v>570.1154730425859</c:v>
                </c:pt>
                <c:pt idx="661">
                  <c:v>571.83570950522619</c:v>
                </c:pt>
                <c:pt idx="662">
                  <c:v>573.55702567052674</c:v>
                </c:pt>
                <c:pt idx="663">
                  <c:v>575.27939546235586</c:v>
                </c:pt>
                <c:pt idx="664">
                  <c:v>577.00279285126135</c:v>
                </c:pt>
                <c:pt idx="665">
                  <c:v>578.72719185471578</c:v>
                </c:pt>
                <c:pt idx="666">
                  <c:v>580.4525522489397</c:v>
                </c:pt>
                <c:pt idx="667">
                  <c:v>582.17881602004081</c:v>
                </c:pt>
                <c:pt idx="668">
                  <c:v>583.90592168575392</c:v>
                </c:pt>
                <c:pt idx="669">
                  <c:v>585.63380787850758</c:v>
                </c:pt>
                <c:pt idx="670">
                  <c:v>587.36241334693602</c:v>
                </c:pt>
                <c:pt idx="671">
                  <c:v>589.09167695735596</c:v>
                </c:pt>
                <c:pt idx="672">
                  <c:v>590.82153769521005</c:v>
                </c:pt>
                <c:pt idx="673">
                  <c:v>592.55193466647609</c:v>
                </c:pt>
                <c:pt idx="674">
                  <c:v>594.28280709904209</c:v>
                </c:pt>
                <c:pt idx="675">
                  <c:v>596.01409434404809</c:v>
                </c:pt>
                <c:pt idx="676">
                  <c:v>597.74573587719431</c:v>
                </c:pt>
                <c:pt idx="677">
                  <c:v>599.47767130001569</c:v>
                </c:pt>
                <c:pt idx="678">
                  <c:v>601.20984034112382</c:v>
                </c:pt>
                <c:pt idx="679">
                  <c:v>602.94218285741545</c:v>
                </c:pt>
                <c:pt idx="680">
                  <c:v>604.67463883524817</c:v>
                </c:pt>
                <c:pt idx="681">
                  <c:v>606.40714839158375</c:v>
                </c:pt>
                <c:pt idx="682">
                  <c:v>608.13965177509874</c:v>
                </c:pt>
                <c:pt idx="683">
                  <c:v>609.87208936726347</c:v>
                </c:pt>
                <c:pt idx="684">
                  <c:v>611.60440168338812</c:v>
                </c:pt>
                <c:pt idx="685">
                  <c:v>613.33652937363752</c:v>
                </c:pt>
                <c:pt idx="686">
                  <c:v>615.06841322401465</c:v>
                </c:pt>
                <c:pt idx="687">
                  <c:v>616.79999415731186</c:v>
                </c:pt>
                <c:pt idx="688">
                  <c:v>618.53121323403195</c:v>
                </c:pt>
                <c:pt idx="689">
                  <c:v>620.26201165327745</c:v>
                </c:pt>
                <c:pt idx="690">
                  <c:v>621.99233075360962</c:v>
                </c:pt>
                <c:pt idx="691">
                  <c:v>623.72211201387711</c:v>
                </c:pt>
                <c:pt idx="692">
                  <c:v>625.45129705401405</c:v>
                </c:pt>
                <c:pt idx="693">
                  <c:v>627.1798276358079</c:v>
                </c:pt>
                <c:pt idx="694">
                  <c:v>628.9076456636385</c:v>
                </c:pt>
                <c:pt idx="695">
                  <c:v>630.63469318518639</c:v>
                </c:pt>
                <c:pt idx="696">
                  <c:v>632.36091239211271</c:v>
                </c:pt>
                <c:pt idx="697">
                  <c:v>634.08624562070952</c:v>
                </c:pt>
                <c:pt idx="698">
                  <c:v>635.8106353525219</c:v>
                </c:pt>
                <c:pt idx="699">
                  <c:v>637.53402421494093</c:v>
                </c:pt>
                <c:pt idx="700">
                  <c:v>639.2563549817686</c:v>
                </c:pt>
                <c:pt idx="701">
                  <c:v>640.97757057375497</c:v>
                </c:pt>
                <c:pt idx="702">
                  <c:v>642.69761405910708</c:v>
                </c:pt>
                <c:pt idx="703">
                  <c:v>644.4164286539708</c:v>
                </c:pt>
                <c:pt idx="704">
                  <c:v>646.13395772288504</c:v>
                </c:pt>
                <c:pt idx="705">
                  <c:v>647.85014477920947</c:v>
                </c:pt>
                <c:pt idx="706">
                  <c:v>649.56493348552476</c:v>
                </c:pt>
                <c:pt idx="707">
                  <c:v>651.27826765400732</c:v>
                </c:pt>
                <c:pt idx="708">
                  <c:v>652.99009085590558</c:v>
                </c:pt>
                <c:pt idx="709">
                  <c:v>654.70034290369836</c:v>
                </c:pt>
                <c:pt idx="710">
                  <c:v>656.40896025399263</c:v>
                </c:pt>
                <c:pt idx="711">
                  <c:v>658.1158795378168</c:v>
                </c:pt>
                <c:pt idx="712">
                  <c:v>659.82103756111792</c:v>
                </c:pt>
                <c:pt idx="713">
                  <c:v>661.52437130522549</c:v>
                </c:pt>
                <c:pt idx="714">
                  <c:v>663.22581792728249</c:v>
                </c:pt>
                <c:pt idx="715">
                  <c:v>664.925314760643</c:v>
                </c:pt>
                <c:pt idx="716">
                  <c:v>666.62279931523744</c:v>
                </c:pt>
                <c:pt idx="717">
                  <c:v>668.31820927790579</c:v>
                </c:pt>
                <c:pt idx="718">
                  <c:v>670.01148251269865</c:v>
                </c:pt>
                <c:pt idx="719">
                  <c:v>671.70255706114722</c:v>
                </c:pt>
                <c:pt idx="720">
                  <c:v>673.39137114250173</c:v>
                </c:pt>
                <c:pt idx="721">
                  <c:v>675.07786315393969</c:v>
                </c:pt>
                <c:pt idx="722">
                  <c:v>676.76197167074281</c:v>
                </c:pt>
                <c:pt idx="723">
                  <c:v>678.44363544644466</c:v>
                </c:pt>
                <c:pt idx="724">
                  <c:v>680.12279341294834</c:v>
                </c:pt>
                <c:pt idx="725">
                  <c:v>681.79933484663991</c:v>
                </c:pt>
                <c:pt idx="726">
                  <c:v>683.47307818702404</c:v>
                </c:pt>
                <c:pt idx="727">
                  <c:v>685.1439280080034</c:v>
                </c:pt>
                <c:pt idx="728">
                  <c:v>686.81189607377462</c:v>
                </c:pt>
                <c:pt idx="729">
                  <c:v>688.47699407631842</c:v>
                </c:pt>
                <c:pt idx="730">
                  <c:v>690.1392336359977</c:v>
                </c:pt>
                <c:pt idx="731">
                  <c:v>691.7986263021487</c:v>
                </c:pt>
                <c:pt idx="732">
                  <c:v>693.45518355366687</c:v>
                </c:pt>
                <c:pt idx="733">
                  <c:v>695.10891679958604</c:v>
                </c:pt>
                <c:pt idx="734">
                  <c:v>696.75983737965157</c:v>
                </c:pt>
                <c:pt idx="735">
                  <c:v>698.40795656488842</c:v>
                </c:pt>
                <c:pt idx="736">
                  <c:v>700.0532855581622</c:v>
                </c:pt>
                <c:pt idx="737">
                  <c:v>701.69583549473543</c:v>
                </c:pt>
                <c:pt idx="738">
                  <c:v>703.33561744281735</c:v>
                </c:pt>
                <c:pt idx="739">
                  <c:v>704.97264240410891</c:v>
                </c:pt>
                <c:pt idx="740">
                  <c:v>706.60692131434132</c:v>
                </c:pt>
                <c:pt idx="741">
                  <c:v>708.23846504380981</c:v>
                </c:pt>
                <c:pt idx="742">
                  <c:v>709.86728439790159</c:v>
                </c:pt>
                <c:pt idx="743">
                  <c:v>711.49339011761879</c:v>
                </c:pt>
                <c:pt idx="744">
                  <c:v>713.11679288009555</c:v>
                </c:pt>
                <c:pt idx="745">
                  <c:v>714.73750329911047</c:v>
                </c:pt>
                <c:pt idx="746">
                  <c:v>716.3555319255936</c:v>
                </c:pt>
                <c:pt idx="747">
                  <c:v>717.97088924812829</c:v>
                </c:pt>
                <c:pt idx="748">
                  <c:v>719.5835856934483</c:v>
                </c:pt>
                <c:pt idx="749">
                  <c:v>721.19363162692957</c:v>
                </c:pt>
                <c:pt idx="750">
                  <c:v>722.80103735307716</c:v>
                </c:pt>
                <c:pt idx="751">
                  <c:v>724.40581311600772</c:v>
                </c:pt>
                <c:pt idx="752">
                  <c:v>726.00796909992653</c:v>
                </c:pt>
                <c:pt idx="753">
                  <c:v>727.6075154296002</c:v>
                </c:pt>
                <c:pt idx="754">
                  <c:v>729.20446217082474</c:v>
                </c:pt>
                <c:pt idx="755">
                  <c:v>730.7988193308887</c:v>
                </c:pt>
                <c:pt idx="756">
                  <c:v>732.39059685903203</c:v>
                </c:pt>
                <c:pt idx="757">
                  <c:v>733.97980464690011</c:v>
                </c:pt>
                <c:pt idx="758">
                  <c:v>735.56645252899375</c:v>
                </c:pt>
                <c:pt idx="759">
                  <c:v>737.15055028311417</c:v>
                </c:pt>
                <c:pt idx="760">
                  <c:v>738.73210763080431</c:v>
                </c:pt>
                <c:pt idx="761">
                  <c:v>740.31113423778527</c:v>
                </c:pt>
                <c:pt idx="762">
                  <c:v>741.8876397143888</c:v>
                </c:pt>
                <c:pt idx="763">
                  <c:v>743.46163361598542</c:v>
                </c:pt>
                <c:pt idx="764">
                  <c:v>745.03312544340861</c:v>
                </c:pt>
                <c:pt idx="765">
                  <c:v>746.60212464337462</c:v>
                </c:pt>
                <c:pt idx="766">
                  <c:v>748.16864060889827</c:v>
                </c:pt>
                <c:pt idx="767">
                  <c:v>749.73268267970479</c:v>
                </c:pt>
                <c:pt idx="768">
                  <c:v>751.29426014263777</c:v>
                </c:pt>
                <c:pt idx="769">
                  <c:v>752.85338223206315</c:v>
                </c:pt>
                <c:pt idx="770">
                  <c:v>754.41005813026925</c:v>
                </c:pt>
                <c:pt idx="771">
                  <c:v>755.96429696786277</c:v>
                </c:pt>
                <c:pt idx="772">
                  <c:v>757.51610782416162</c:v>
                </c:pt>
                <c:pt idx="773">
                  <c:v>759.06549972758341</c:v>
                </c:pt>
                <c:pt idx="774">
                  <c:v>760.61248165603058</c:v>
                </c:pt>
                <c:pt idx="775">
                  <c:v>762.15706253727137</c:v>
                </c:pt>
                <c:pt idx="776">
                  <c:v>763.69925124931819</c:v>
                </c:pt>
                <c:pt idx="777">
                  <c:v>765.23905662080108</c:v>
                </c:pt>
                <c:pt idx="778">
                  <c:v>766.77648743133875</c:v>
                </c:pt>
                <c:pt idx="779">
                  <c:v>768.31155241190561</c:v>
                </c:pt>
                <c:pt idx="780">
                  <c:v>769.84426024519541</c:v>
                </c:pt>
                <c:pt idx="781">
                  <c:v>771.37461956598156</c:v>
                </c:pt>
                <c:pt idx="782">
                  <c:v>772.9026389614736</c:v>
                </c:pt>
                <c:pt idx="783">
                  <c:v>774.42832697167137</c:v>
                </c:pt>
                <c:pt idx="784">
                  <c:v>775.9516920897147</c:v>
                </c:pt>
                <c:pt idx="785">
                  <c:v>777.47274276223061</c:v>
                </c:pt>
                <c:pt idx="786">
                  <c:v>778.99148738967699</c:v>
                </c:pt>
                <c:pt idx="787">
                  <c:v>780.5079343266832</c:v>
                </c:pt>
                <c:pt idx="788">
                  <c:v>782.02209188238726</c:v>
                </c:pt>
                <c:pt idx="789">
                  <c:v>783.53396832077033</c:v>
                </c:pt>
                <c:pt idx="790">
                  <c:v>785.04357186098775</c:v>
                </c:pt>
                <c:pt idx="791">
                  <c:v>786.55091067769729</c:v>
                </c:pt>
                <c:pt idx="792">
                  <c:v>788.05599290138389</c:v>
                </c:pt>
                <c:pt idx="793">
                  <c:v>789.55882661868225</c:v>
                </c:pt>
                <c:pt idx="794">
                  <c:v>791.0594198726958</c:v>
                </c:pt>
                <c:pt idx="795">
                  <c:v>792.55778066331277</c:v>
                </c:pt>
                <c:pt idx="796">
                  <c:v>794.05391694751984</c:v>
                </c:pt>
                <c:pt idx="797">
                  <c:v>795.54783663971239</c:v>
                </c:pt>
                <c:pt idx="798">
                  <c:v>797.03954761200237</c:v>
                </c:pt>
                <c:pt idx="799">
                  <c:v>798.52905769452309</c:v>
                </c:pt>
                <c:pt idx="800">
                  <c:v>800.01637467573119</c:v>
                </c:pt>
                <c:pt idx="801">
                  <c:v>814.76952385047719</c:v>
                </c:pt>
                <c:pt idx="802">
                  <c:v>829.30832768100458</c:v>
                </c:pt>
                <c:pt idx="803">
                  <c:v>843.6401969810554</c:v>
                </c:pt>
                <c:pt idx="804">
                  <c:v>857.77216272119836</c:v>
                </c:pt>
                <c:pt idx="805">
                  <c:v>871.7109019758359</c:v>
                </c:pt>
                <c:pt idx="806">
                  <c:v>885.46276167163603</c:v>
                </c:pt>
                <c:pt idx="807">
                  <c:v>899.03378035864546</c:v>
                </c:pt>
                <c:pt idx="808">
                  <c:v>912.42970819966786</c:v>
                </c:pt>
                <c:pt idx="809">
                  <c:v>925.65602535117978</c:v>
                </c:pt>
                <c:pt idx="810">
                  <c:v>938.71795888961822</c:v>
                </c:pt>
                <c:pt idx="811">
                  <c:v>951.62049841989653</c:v>
                </c:pt>
                <c:pt idx="812">
                  <c:v>964.36841048814654</c:v>
                </c:pt>
                <c:pt idx="813">
                  <c:v>976.96625190764348</c:v>
                </c:pt>
                <c:pt idx="814">
                  <c:v>989.41838209541083</c:v>
                </c:pt>
                <c:pt idx="815">
                  <c:v>1001.7289745068962</c:v>
                </c:pt>
                <c:pt idx="816">
                  <c:v>1013.9020272471964</c:v>
                </c:pt>
                <c:pt idx="817">
                  <c:v>1025.9413729294172</c:v>
                </c:pt>
                <c:pt idx="818">
                  <c:v>1037.850687843762</c:v>
                </c:pt>
                <c:pt idx="819">
                  <c:v>1049.6335004947352</c:v>
                </c:pt>
                <c:pt idx="820">
                  <c:v>1061.2931995583219</c:v>
                </c:pt>
                <c:pt idx="821">
                  <c:v>1072.8330413060839</c:v>
                </c:pt>
                <c:pt idx="822">
                  <c:v>1084.2561565387193</c:v>
                </c:pt>
                <c:pt idx="823">
                  <c:v>1095.5655570677038</c:v>
                </c:pt>
                <c:pt idx="824">
                  <c:v>1106.7641417801162</c:v>
                </c:pt>
                <c:pt idx="825">
                  <c:v>1117.8547023185929</c:v>
                </c:pt>
                <c:pt idx="826">
                  <c:v>1128.839928405527</c:v>
                </c:pt>
                <c:pt idx="827">
                  <c:v>1139.7224128380731</c:v>
                </c:pt>
                <c:pt idx="828">
                  <c:v>1150.5046561782281</c:v>
                </c:pt>
                <c:pt idx="829">
                  <c:v>1161.1890711601809</c:v>
                </c:pt>
                <c:pt idx="830">
                  <c:v>1171.7779868352602</c:v>
                </c:pt>
                <c:pt idx="831">
                  <c:v>1182.2736524731085</c:v>
                </c:pt>
                <c:pt idx="832">
                  <c:v>1192.6782412361865</c:v>
                </c:pt>
                <c:pt idx="833">
                  <c:v>1202.9938536433151</c:v>
                </c:pt>
                <c:pt idx="834">
                  <c:v>1213.2225208367056</c:v>
                </c:pt>
                <c:pt idx="835">
                  <c:v>1223.3662076657772</c:v>
                </c:pt>
                <c:pt idx="836">
                  <c:v>1233.4268156000228</c:v>
                </c:pt>
                <c:pt idx="837">
                  <c:v>1243.4061854822273</c:v>
                </c:pt>
                <c:pt idx="838">
                  <c:v>1253.3061001324797</c:v>
                </c:pt>
                <c:pt idx="839">
                  <c:v>1263.1282868126273</c:v>
                </c:pt>
                <c:pt idx="840">
                  <c:v>1272.8744195600955</c:v>
                </c:pt>
                <c:pt idx="841">
                  <c:v>1282.5461213993365</c:v>
                </c:pt>
                <c:pt idx="842">
                  <c:v>1292.1449664385621</c:v>
                </c:pt>
                <c:pt idx="843">
                  <c:v>1301.6724818588616</c:v>
                </c:pt>
                <c:pt idx="844">
                  <c:v>1311.1301498022938</c:v>
                </c:pt>
                <c:pt idx="845">
                  <c:v>1320.5194091650756</c:v>
                </c:pt>
                <c:pt idx="846">
                  <c:v>1329.8416573015568</c:v>
                </c:pt>
                <c:pt idx="847">
                  <c:v>1339.0982516442768</c:v>
                </c:pt>
                <c:pt idx="848">
                  <c:v>1348.2905112450314</c:v>
                </c:pt>
                <c:pt idx="849">
                  <c:v>1357.4197182415439</c:v>
                </c:pt>
                <c:pt idx="850">
                  <c:v>1366.4871192540218</c:v>
                </c:pt>
                <c:pt idx="851">
                  <c:v>1375.4939267155958</c:v>
                </c:pt>
                <c:pt idx="852">
                  <c:v>1384.4413201403725</c:v>
                </c:pt>
                <c:pt idx="853">
                  <c:v>1393.3304473325857</c:v>
                </c:pt>
                <c:pt idx="854">
                  <c:v>1402.1624255401073</c:v>
                </c:pt>
                <c:pt idx="855">
                  <c:v>1410.9383425553667</c:v>
                </c:pt>
                <c:pt idx="856">
                  <c:v>1419.6592577665338</c:v>
                </c:pt>
                <c:pt idx="857">
                  <c:v>1428.3262031616396</c:v>
                </c:pt>
                <c:pt idx="858">
                  <c:v>1436.9401842881423</c:v>
                </c:pt>
                <c:pt idx="859">
                  <c:v>1445.5021811702886</c:v>
                </c:pt>
                <c:pt idx="860">
                  <c:v>1454.013149186479</c:v>
                </c:pt>
                <c:pt idx="861">
                  <c:v>1462.4740199087059</c:v>
                </c:pt>
                <c:pt idx="862">
                  <c:v>1470.8857019060144</c:v>
                </c:pt>
                <c:pt idx="863">
                  <c:v>1479.2490815138131</c:v>
                </c:pt>
                <c:pt idx="864">
                  <c:v>1487.5650235707574</c:v>
                </c:pt>
                <c:pt idx="865">
                  <c:v>1495.834372124825</c:v>
                </c:pt>
                <c:pt idx="866">
                  <c:v>1504.0579511101082</c:v>
                </c:pt>
                <c:pt idx="867">
                  <c:v>1512.236564995759</c:v>
                </c:pt>
                <c:pt idx="868">
                  <c:v>1520.370999408442</c:v>
                </c:pt>
                <c:pt idx="869">
                  <c:v>1528.4620217295721</c:v>
                </c:pt>
                <c:pt idx="870">
                  <c:v>1536.5103816685398</c:v>
                </c:pt>
                <c:pt idx="871">
                  <c:v>1544.5168118130623</c:v>
                </c:pt>
                <c:pt idx="872">
                  <c:v>1552.4820281577342</c:v>
                </c:pt>
                <c:pt idx="873">
                  <c:v>1560.4067306117909</c:v>
                </c:pt>
                <c:pt idx="874">
                  <c:v>1568.2916034870423</c:v>
                </c:pt>
                <c:pt idx="875">
                  <c:v>1576.1373159668869</c:v>
                </c:pt>
                <c:pt idx="876">
                  <c:v>1583.9445225572588</c:v>
                </c:pt>
                <c:pt idx="877">
                  <c:v>1591.7138635203214</c:v>
                </c:pt>
                <c:pt idx="878">
                  <c:v>1599.4459652916767</c:v>
                </c:pt>
                <c:pt idx="879">
                  <c:v>1607.1414408818137</c:v>
                </c:pt>
                <c:pt idx="880">
                  <c:v>1614.8008902624897</c:v>
                </c:pt>
                <c:pt idx="881">
                  <c:v>1622.4249007386939</c:v>
                </c:pt>
                <c:pt idx="882">
                  <c:v>1630.0140473068136</c:v>
                </c:pt>
                <c:pt idx="883">
                  <c:v>1637.5688929995913</c:v>
                </c:pt>
                <c:pt idx="884">
                  <c:v>1645.0899892184282</c:v>
                </c:pt>
                <c:pt idx="885">
                  <c:v>1652.5778760535638</c:v>
                </c:pt>
                <c:pt idx="886">
                  <c:v>1660.0330825926335</c:v>
                </c:pt>
                <c:pt idx="887">
                  <c:v>1667.4561272180795</c:v>
                </c:pt>
                <c:pt idx="888">
                  <c:v>1674.8475178938713</c:v>
                </c:pt>
                <c:pt idx="889">
                  <c:v>1682.2077524419624</c:v>
                </c:pt>
                <c:pt idx="890">
                  <c:v>1689.5373188088936</c:v>
                </c:pt>
                <c:pt idx="891">
                  <c:v>1696.8366953229327</c:v>
                </c:pt>
                <c:pt idx="892">
                  <c:v>1704.1063509421185</c:v>
                </c:pt>
                <c:pt idx="893">
                  <c:v>1711.3467454935637</c:v>
                </c:pt>
                <c:pt idx="894">
                  <c:v>1718.5583299043476</c:v>
                </c:pt>
                <c:pt idx="895">
                  <c:v>1725.7415464243199</c:v>
                </c:pt>
                <c:pt idx="896">
                  <c:v>1732.8968288411183</c:v>
                </c:pt>
                <c:pt idx="897">
                  <c:v>1740.0246026876882</c:v>
                </c:pt>
                <c:pt idx="898">
                  <c:v>1747.1252854425784</c:v>
                </c:pt>
                <c:pt idx="899">
                  <c:v>1754.1992867232768</c:v>
                </c:pt>
                <c:pt idx="900">
                  <c:v>1761.2470084728332</c:v>
                </c:pt>
                <c:pt idx="901">
                  <c:v>1768.2688451400081</c:v>
                </c:pt>
                <c:pt idx="902">
                  <c:v>1775.2651838531742</c:v>
                </c:pt>
                <c:pt idx="903">
                  <c:v>1782.2364045881843</c:v>
                </c:pt>
                <c:pt idx="904">
                  <c:v>1789.182880330414</c:v>
                </c:pt>
                <c:pt idx="905">
                  <c:v>1796.1049772311733</c:v>
                </c:pt>
                <c:pt idx="906">
                  <c:v>1803.0030547586741</c:v>
                </c:pt>
                <c:pt idx="907">
                  <c:v>1809.8774658437342</c:v>
                </c:pt>
                <c:pt idx="908">
                  <c:v>1816.7285570203831</c:v>
                </c:pt>
                <c:pt idx="909">
                  <c:v>1823.5566685615374</c:v>
                </c:pt>
                <c:pt idx="910">
                  <c:v>1830.3621346098964</c:v>
                </c:pt>
                <c:pt idx="911">
                  <c:v>1837.1452833042056</c:v>
                </c:pt>
                <c:pt idx="912">
                  <c:v>1843.9064369010323</c:v>
                </c:pt>
                <c:pt idx="913">
                  <c:v>1850.6459118921834</c:v>
                </c:pt>
                <c:pt idx="914">
                  <c:v>1857.3640191178974</c:v>
                </c:pt>
                <c:pt idx="915">
                  <c:v>1864.0610638759294</c:v>
                </c:pt>
                <c:pt idx="916">
                  <c:v>1870.7373460266499</c:v>
                </c:pt>
                <c:pt idx="917">
                  <c:v>1877.393160094266</c:v>
                </c:pt>
                <c:pt idx="918">
                  <c:v>1884.0287953642742</c:v>
                </c:pt>
                <c:pt idx="919">
                  <c:v>1890.6445359772445</c:v>
                </c:pt>
                <c:pt idx="920">
                  <c:v>1897.2406610190367</c:v>
                </c:pt>
                <c:pt idx="921">
                  <c:v>1903.8174446075388</c:v>
                </c:pt>
                <c:pt idx="922">
                  <c:v>1910.3751559760203</c:v>
                </c:pt>
                <c:pt idx="923">
                  <c:v>1916.9140595531837</c:v>
                </c:pt>
                <c:pt idx="924">
                  <c:v>1923.4344150399988</c:v>
                </c:pt>
                <c:pt idx="925">
                  <c:v>1929.9364774833978</c:v>
                </c:pt>
                <c:pt idx="926">
                  <c:v>1936.4204973469064</c:v>
                </c:pt>
                <c:pt idx="927">
                  <c:v>1942.8867205782876</c:v>
                </c:pt>
                <c:pt idx="928">
                  <c:v>1949.3353886742655</c:v>
                </c:pt>
                <c:pt idx="929">
                  <c:v>1955.766738742399</c:v>
                </c:pt>
                <c:pt idx="930">
                  <c:v>1962.1810035601727</c:v>
                </c:pt>
                <c:pt idx="931">
                  <c:v>1968.5784116313687</c:v>
                </c:pt>
                <c:pt idx="932">
                  <c:v>1974.9591872397812</c:v>
                </c:pt>
                <c:pt idx="933">
                  <c:v>1981.3235505003374</c:v>
                </c:pt>
                <c:pt idx="934">
                  <c:v>1987.6717174076841</c:v>
                </c:pt>
                <c:pt idx="935">
                  <c:v>1994.0038998822979</c:v>
                </c:pt>
                <c:pt idx="936">
                  <c:v>2000.3203058141803</c:v>
                </c:pt>
                <c:pt idx="937">
                  <c:v>2006.6211391041936</c:v>
                </c:pt>
                <c:pt idx="938">
                  <c:v>2012.9065997030962</c:v>
                </c:pt>
                <c:pt idx="939">
                  <c:v>2019.1768836483352</c:v>
                </c:pt>
                <c:pt idx="940">
                  <c:v>2025.4321830986548</c:v>
                </c:pt>
                <c:pt idx="941">
                  <c:v>2031.6726863665788</c:v>
                </c:pt>
                <c:pt idx="942">
                  <c:v>2037.8985779488255</c:v>
                </c:pt>
                <c:pt idx="943">
                  <c:v>2044.1100385547177</c:v>
                </c:pt>
                <c:pt idx="944">
                  <c:v>2050.307245132647</c:v>
                </c:pt>
                <c:pt idx="945">
                  <c:v>2056.4903708946581</c:v>
                </c:pt>
                <c:pt idx="946">
                  <c:v>2062.6595853392155</c:v>
                </c:pt>
                <c:pt idx="947">
                  <c:v>2068.8150542722206</c:v>
                </c:pt>
                <c:pt idx="948">
                  <c:v>2074.9569398263498</c:v>
                </c:pt>
                <c:pt idx="949">
                  <c:v>2081.0854004787834</c:v>
                </c:pt>
                <c:pt idx="950">
                  <c:v>2087.2005910673993</c:v>
                </c:pt>
                <c:pt idx="951">
                  <c:v>2093.3026628055113</c:v>
                </c:pt>
                <c:pt idx="952">
                  <c:v>2099.3917632952302</c:v>
                </c:pt>
                <c:pt idx="953">
                  <c:v>2105.4680365395325</c:v>
                </c:pt>
                <c:pt idx="954">
                  <c:v>2111.5316229531222</c:v>
                </c:pt>
                <c:pt idx="955">
                  <c:v>2117.5826593721799</c:v>
                </c:pt>
                <c:pt idx="956">
                  <c:v>2123.6212790630889</c:v>
                </c:pt>
                <c:pt idx="957">
                  <c:v>2129.6476117302395</c:v>
                </c:pt>
                <c:pt idx="958">
                  <c:v>2135.6617835230131</c:v>
                </c:pt>
                <c:pt idx="959">
                  <c:v>2141.6639170420494</c:v>
                </c:pt>
                <c:pt idx="960">
                  <c:v>2147.6541313449088</c:v>
                </c:pt>
                <c:pt idx="961">
                  <c:v>2153.6325419512395</c:v>
                </c:pt>
                <c:pt idx="962">
                  <c:v>2159.5992608475667</c:v>
                </c:pt>
                <c:pt idx="963">
                  <c:v>2165.5543964918247</c:v>
                </c:pt>
                <c:pt idx="964">
                  <c:v>2171.4980538177501</c:v>
                </c:pt>
                <c:pt idx="965">
                  <c:v>2177.4303342392636</c:v>
                </c:pt>
                <c:pt idx="966">
                  <c:v>2183.3513356549665</c:v>
                </c:pt>
                <c:pt idx="967">
                  <c:v>2189.2611524528761</c:v>
                </c:pt>
                <c:pt idx="968">
                  <c:v>2195.1598755155374</c:v>
                </c:pt>
                <c:pt idx="969">
                  <c:v>2201.047592225631</c:v>
                </c:pt>
                <c:pt idx="970">
                  <c:v>2206.9243864722152</c:v>
                </c:pt>
                <c:pt idx="971">
                  <c:v>2212.7903386577264</c:v>
                </c:pt>
                <c:pt idx="972">
                  <c:v>2218.6455257058665</c:v>
                </c:pt>
                <c:pt idx="973">
                  <c:v>2224.4900210705014</c:v>
                </c:pt>
                <c:pt idx="974">
                  <c:v>2230.3238947456944</c:v>
                </c:pt>
                <c:pt idx="975">
                  <c:v>2236.1472132769914</c:v>
                </c:pt>
                <c:pt idx="976">
                  <c:v>2241.9600397740678</c:v>
                </c:pt>
                <c:pt idx="977">
                  <c:v>2247.7624339248523</c:v>
                </c:pt>
                <c:pt idx="978">
                  <c:v>2253.5544520112194</c:v>
                </c:pt>
                <c:pt idx="979">
                  <c:v>2259.3361469263514</c:v>
                </c:pt>
                <c:pt idx="980">
                  <c:v>2265.1075681938523</c:v>
                </c:pt>
                <c:pt idx="981">
                  <c:v>2270.8687619886923</c:v>
                </c:pt>
                <c:pt idx="982">
                  <c:v>2276.6197711600475</c:v>
                </c:pt>
                <c:pt idx="983">
                  <c:v>2282.3606352560969</c:v>
                </c:pt>
                <c:pt idx="984">
                  <c:v>2288.0913905508214</c:v>
                </c:pt>
                <c:pt idx="985">
                  <c:v>2293.81207007284</c:v>
                </c:pt>
                <c:pt idx="986">
                  <c:v>2299.5227036363108</c:v>
                </c:pt>
                <c:pt idx="987">
                  <c:v>2305.2233178739098</c:v>
                </c:pt>
                <c:pt idx="988">
                  <c:v>2310.9139362718893</c:v>
                </c:pt>
                <c:pt idx="989">
                  <c:v>2316.5945792072071</c:v>
                </c:pt>
                <c:pt idx="990">
                  <c:v>2322.2652639867069</c:v>
                </c:pt>
                <c:pt idx="991">
                  <c:v>2327.9260048883161</c:v>
                </c:pt>
                <c:pt idx="992">
                  <c:v>2333.5768132042231</c:v>
                </c:pt>
                <c:pt idx="993">
                  <c:v>2339.2176972859784</c:v>
                </c:pt>
                <c:pt idx="994">
                  <c:v>2344.8486625914579</c:v>
                </c:pt>
                <c:pt idx="995">
                  <c:v>2350.46971173362</c:v>
                </c:pt>
                <c:pt idx="996">
                  <c:v>2356.0808445309744</c:v>
                </c:pt>
                <c:pt idx="997">
                  <c:v>2361.6820580596773</c:v>
                </c:pt>
                <c:pt idx="998">
                  <c:v>2367.2733467071607</c:v>
                </c:pt>
                <c:pt idx="999">
                  <c:v>2372.8547022271946</c:v>
                </c:pt>
                <c:pt idx="1000">
                  <c:v>2378.4261137962781</c:v>
                </c:pt>
              </c:numCache>
            </c:numRef>
          </c:xVal>
          <c:yVal>
            <c:numRef>
              <c:f>Calculs!$AE$4:$AE$1004</c:f>
              <c:numCache>
                <c:formatCode>0</c:formatCode>
                <c:ptCount val="1001"/>
                <c:pt idx="0">
                  <c:v>0</c:v>
                </c:pt>
                <c:pt idx="1">
                  <c:v>0</c:v>
                </c:pt>
                <c:pt idx="2">
                  <c:v>6.0020307963908244E-4</c:v>
                </c:pt>
                <c:pt idx="3">
                  <c:v>3.1064297722816271E-3</c:v>
                </c:pt>
                <c:pt idx="4">
                  <c:v>8.9304400737679878E-3</c:v>
                </c:pt>
                <c:pt idx="5">
                  <c:v>1.9213038171493942E-2</c:v>
                </c:pt>
                <c:pt idx="6">
                  <c:v>3.4551735190846859E-2</c:v>
                </c:pt>
                <c:pt idx="7">
                  <c:v>5.5272410308980426E-2</c:v>
                </c:pt>
                <c:pt idx="8">
                  <c:v>8.1701311614856109E-2</c:v>
                </c:pt>
                <c:pt idx="9">
                  <c:v>0.11409101034021218</c:v>
                </c:pt>
                <c:pt idx="10">
                  <c:v>0.15254622098685661</c:v>
                </c:pt>
                <c:pt idx="11">
                  <c:v>0.19709767448295912</c:v>
                </c:pt>
                <c:pt idx="12">
                  <c:v>0.24777611687929663</c:v>
                </c:pt>
                <c:pt idx="13">
                  <c:v>0.30461230917663479</c:v>
                </c:pt>
                <c:pt idx="14">
                  <c:v>0.36763702715105351</c:v>
                </c:pt>
                <c:pt idx="15">
                  <c:v>0.43688106117721259</c:v>
                </c:pt>
                <c:pt idx="16">
                  <c:v>0.51237521604955294</c:v>
                </c:pt>
                <c:pt idx="17">
                  <c:v>0.59415031080143055</c:v>
                </c:pt>
                <c:pt idx="18">
                  <c:v>0.68223717852217791</c:v>
                </c:pt>
                <c:pt idx="19">
                  <c:v>0.77666666617209035</c:v>
                </c:pt>
                <c:pt idx="20">
                  <c:v>0.87746963439533288</c:v>
                </c:pt>
                <c:pt idx="21">
                  <c:v>0.98467177246483362</c:v>
                </c:pt>
                <c:pt idx="22">
                  <c:v>1.0982858104545967</c:v>
                </c:pt>
                <c:pt idx="23">
                  <c:v>1.2183166870123663</c:v>
                </c:pt>
                <c:pt idx="24">
                  <c:v>1.344769319957301</c:v>
                </c:pt>
                <c:pt idx="25">
                  <c:v>1.4776486061968197</c:v>
                </c:pt>
                <c:pt idx="26">
                  <c:v>1.6169594216436829</c:v>
                </c:pt>
                <c:pt idx="27">
                  <c:v>1.7627066211333124</c:v>
                </c:pt>
                <c:pt idx="28">
                  <c:v>1.9148950383413548</c:v>
                </c:pt>
                <c:pt idx="29">
                  <c:v>2.0735294857014872</c:v>
                </c:pt>
                <c:pt idx="30">
                  <c:v>2.2386147543234749</c:v>
                </c:pt>
                <c:pt idx="31">
                  <c:v>2.4101556139114795</c:v>
                </c:pt>
                <c:pt idx="32">
                  <c:v>2.58815681268262</c:v>
                </c:pt>
                <c:pt idx="33">
                  <c:v>2.7726230772857963</c:v>
                </c:pt>
                <c:pt idx="34">
                  <c:v>2.9635591127207697</c:v>
                </c:pt>
                <c:pt idx="35">
                  <c:v>3.1609696022575111</c:v>
                </c:pt>
                <c:pt idx="36">
                  <c:v>3.3648592073558166</c:v>
                </c:pt>
                <c:pt idx="37">
                  <c:v>3.5752325675851915</c:v>
                </c:pt>
                <c:pt idx="38">
                  <c:v>3.792094300545013</c:v>
                </c:pt>
                <c:pt idx="39">
                  <c:v>4.0154490017849662</c:v>
                </c:pt>
                <c:pt idx="40">
                  <c:v>4.245268372254003</c:v>
                </c:pt>
                <c:pt idx="41">
                  <c:v>4.4815230598689961</c:v>
                </c:pt>
                <c:pt idx="42">
                  <c:v>4.7242155341504413</c:v>
                </c:pt>
                <c:pt idx="43">
                  <c:v>4.9733482628268959</c:v>
                </c:pt>
                <c:pt idx="44">
                  <c:v>5.2289237270389517</c:v>
                </c:pt>
                <c:pt idx="45">
                  <c:v>5.4909444197044968</c:v>
                </c:pt>
                <c:pt idx="46">
                  <c:v>5.7594139932198782</c:v>
                </c:pt>
                <c:pt idx="47">
                  <c:v>6.0343375462237931</c:v>
                </c:pt>
                <c:pt idx="48">
                  <c:v>6.315720474067315</c:v>
                </c:pt>
                <c:pt idx="49">
                  <c:v>6.6035681804072341</c:v>
                </c:pt>
                <c:pt idx="50">
                  <c:v>6.8978860760314129</c:v>
                </c:pt>
                <c:pt idx="51">
                  <c:v>7.1986795777479582</c:v>
                </c:pt>
                <c:pt idx="52">
                  <c:v>7.5059541073332108</c:v>
                </c:pt>
                <c:pt idx="53">
                  <c:v>7.8197150905340074</c:v>
                </c:pt>
                <c:pt idx="54">
                  <c:v>8.1399679561201346</c:v>
                </c:pt>
                <c:pt idx="55">
                  <c:v>8.4667181349832621</c:v>
                </c:pt>
                <c:pt idx="56">
                  <c:v>8.7999710592789864</c:v>
                </c:pt>
                <c:pt idx="57">
                  <c:v>9.1397321616089311</c:v>
                </c:pt>
                <c:pt idx="58">
                  <c:v>9.4860068742401058</c:v>
                </c:pt>
                <c:pt idx="59">
                  <c:v>9.8388006283589799</c:v>
                </c:pt>
                <c:pt idx="60">
                  <c:v>10.198118853357954</c:v>
                </c:pt>
                <c:pt idx="61">
                  <c:v>10.563966976152077</c:v>
                </c:pt>
                <c:pt idx="62">
                  <c:v>10.936350420524066</c:v>
                </c:pt>
                <c:pt idx="63">
                  <c:v>11.31527460649583</c:v>
                </c:pt>
                <c:pt idx="64">
                  <c:v>11.700744949724843</c:v>
                </c:pt>
                <c:pt idx="65">
                  <c:v>12.09276686092384</c:v>
                </c:pt>
                <c:pt idx="66">
                  <c:v>12.491345745302434</c:v>
                </c:pt>
                <c:pt idx="67">
                  <c:v>12.896487002029355</c:v>
                </c:pt>
                <c:pt idx="68">
                  <c:v>13.308196023714103</c:v>
                </c:pt>
                <c:pt idx="69">
                  <c:v>13.726495953160748</c:v>
                </c:pt>
                <c:pt idx="70">
                  <c:v>14.151435309654898</c:v>
                </c:pt>
                <c:pt idx="71">
                  <c:v>14.583070251808925</c:v>
                </c:pt>
                <c:pt idx="72">
                  <c:v>15.021456971123982</c:v>
                </c:pt>
                <c:pt idx="73">
                  <c:v>15.466651691976699</c:v>
                </c:pt>
                <c:pt idx="74">
                  <c:v>15.91871067159725</c:v>
                </c:pt>
                <c:pt idx="75">
                  <c:v>16.37769020003886</c:v>
                </c:pt>
                <c:pt idx="76">
                  <c:v>16.843646600138818</c:v>
                </c:pt>
                <c:pt idx="77">
                  <c:v>17.316603517890766</c:v>
                </c:pt>
                <c:pt idx="78">
                  <c:v>17.796537870571601</c:v>
                </c:pt>
                <c:pt idx="79">
                  <c:v>18.283412515329072</c:v>
                </c:pt>
                <c:pt idx="80">
                  <c:v>18.777190260060998</c:v>
                </c:pt>
                <c:pt idx="81">
                  <c:v>19.277833863478786</c:v>
                </c:pt>
                <c:pt idx="82">
                  <c:v>19.785306035198456</c:v>
                </c:pt>
                <c:pt idx="83">
                  <c:v>20.299569435857503</c:v>
                </c:pt>
                <c:pt idx="84">
                  <c:v>20.820586677256149</c:v>
                </c:pt>
                <c:pt idx="85">
                  <c:v>21.348320322521534</c:v>
                </c:pt>
                <c:pt idx="86">
                  <c:v>21.882737318809799</c:v>
                </c:pt>
                <c:pt idx="87">
                  <c:v>22.423826736940129</c:v>
                </c:pt>
                <c:pt idx="88">
                  <c:v>22.971595356504743</c:v>
                </c:pt>
                <c:pt idx="89">
                  <c:v>23.526049943819491</c:v>
                </c:pt>
                <c:pt idx="90">
                  <c:v>24.087197251647176</c:v>
                </c:pt>
                <c:pt idx="91">
                  <c:v>24.655044018926493</c:v>
                </c:pt>
                <c:pt idx="92">
                  <c:v>25.229596970506371</c:v>
                </c:pt>
                <c:pt idx="93">
                  <c:v>25.810862816885468</c:v>
                </c:pt>
                <c:pt idx="94">
                  <c:v>26.398848253956661</c:v>
                </c:pt>
                <c:pt idx="95">
                  <c:v>26.993559962756301</c:v>
                </c:pt>
                <c:pt idx="96">
                  <c:v>27.595004609218087</c:v>
                </c:pt>
                <c:pt idx="97">
                  <c:v>28.203188843931358</c:v>
                </c:pt>
                <c:pt idx="98">
                  <c:v>28.818119301903657</c:v>
                </c:pt>
                <c:pt idx="99">
                  <c:v>29.439802602327418</c:v>
                </c:pt>
                <c:pt idx="100">
                  <c:v>30.068245348350608</c:v>
                </c:pt>
                <c:pt idx="101">
                  <c:v>30.703454126851195</c:v>
                </c:pt>
                <c:pt idx="102">
                  <c:v>31.345435508215328</c:v>
                </c:pt>
                <c:pt idx="103">
                  <c:v>31.994196046119072</c:v>
                </c:pt>
                <c:pt idx="104">
                  <c:v>32.649742277313599</c:v>
                </c:pt>
                <c:pt idx="105">
                  <c:v>33.312080721413722</c:v>
                </c:pt>
                <c:pt idx="106">
                  <c:v>33.981217880689627</c:v>
                </c:pt>
                <c:pt idx="107">
                  <c:v>34.65716023986176</c:v>
                </c:pt>
                <c:pt idx="108">
                  <c:v>35.339914265898742</c:v>
                </c:pt>
                <c:pt idx="109">
                  <c:v>36.02948640781819</c:v>
                </c:pt>
                <c:pt idx="110">
                  <c:v>36.725883096490385</c:v>
                </c:pt>
                <c:pt idx="111">
                  <c:v>37.429110744444706</c:v>
                </c:pt>
                <c:pt idx="112">
                  <c:v>38.139175745678756</c:v>
                </c:pt>
                <c:pt idx="113">
                  <c:v>38.856084475470048</c:v>
                </c:pt>
                <c:pt idx="114">
                  <c:v>39.579843290190226</c:v>
                </c:pt>
                <c:pt idx="115">
                  <c:v>40.310458527121753</c:v>
                </c:pt>
                <c:pt idx="116">
                  <c:v>41.047936504276976</c:v>
                </c:pt>
                <c:pt idx="117">
                  <c:v>41.792283520219499</c:v>
                </c:pt>
                <c:pt idx="118">
                  <c:v>42.543505853887829</c:v>
                </c:pt>
                <c:pt idx="119">
                  <c:v>43.301609764421201</c:v>
                </c:pt>
                <c:pt idx="120">
                  <c:v>44.066601490987566</c:v>
                </c:pt>
                <c:pt idx="121">
                  <c:v>44.838487252613653</c:v>
                </c:pt>
                <c:pt idx="122">
                  <c:v>45.617273248017078</c:v>
                </c:pt>
                <c:pt idx="123">
                  <c:v>46.402965655440411</c:v>
                </c:pt>
                <c:pt idx="124">
                  <c:v>47.195570632487225</c:v>
                </c:pt>
                <c:pt idx="125">
                  <c:v>47.995094315959989</c:v>
                </c:pt>
                <c:pt idx="126">
                  <c:v>48.801542821699847</c:v>
                </c:pt>
                <c:pt idx="127">
                  <c:v>49.6149222444282</c:v>
                </c:pt>
                <c:pt idx="128">
                  <c:v>50.435238657590027</c:v>
                </c:pt>
                <c:pt idx="129">
                  <c:v>51.262498113198973</c:v>
                </c:pt>
                <c:pt idx="130">
                  <c:v>52.096706641684108</c:v>
                </c:pt>
                <c:pt idx="131">
                  <c:v>52.937870251738339</c:v>
                </c:pt>
                <c:pt idx="132">
                  <c:v>53.785994930168464</c:v>
                </c:pt>
                <c:pt idx="133">
                  <c:v>54.641086641746789</c:v>
                </c:pt>
                <c:pt idx="134">
                  <c:v>55.503151329064345</c:v>
                </c:pt>
                <c:pt idx="135">
                  <c:v>56.372194912385602</c:v>
                </c:pt>
                <c:pt idx="136">
                  <c:v>57.248223289504686</c:v>
                </c:pt>
                <c:pt idx="137">
                  <c:v>58.131242335603091</c:v>
                </c:pt>
                <c:pt idx="138">
                  <c:v>59.021257903108818</c:v>
                </c:pt>
                <c:pt idx="139">
                  <c:v>59.918275821556954</c:v>
                </c:pt>
                <c:pt idx="140">
                  <c:v>60.822301897451638</c:v>
                </c:pt>
                <c:pt idx="141">
                  <c:v>61.733341914129397</c:v>
                </c:pt>
                <c:pt idx="142">
                  <c:v>62.651401631623862</c:v>
                </c:pt>
                <c:pt idx="143">
                  <c:v>63.576486786531774</c:v>
                </c:pt>
                <c:pt idx="144">
                  <c:v>64.508603091880332</c:v>
                </c:pt>
                <c:pt idx="145">
                  <c:v>65.447756236995815</c:v>
                </c:pt>
                <c:pt idx="146">
                  <c:v>66.393951887373518</c:v>
                </c:pt>
                <c:pt idx="147">
                  <c:v>67.347195684548865</c:v>
                </c:pt>
                <c:pt idx="148">
                  <c:v>68.307493245969823</c:v>
                </c:pt>
                <c:pt idx="149">
                  <c:v>69.274850164870514</c:v>
                </c:pt>
                <c:pt idx="150">
                  <c:v>70.249272010146015</c:v>
                </c:pt>
                <c:pt idx="151">
                  <c:v>71.230764326228382</c:v>
                </c:pt>
                <c:pt idx="152">
                  <c:v>72.219332632963827</c:v>
                </c:pt>
                <c:pt idx="153">
                  <c:v>73.214982425491044</c:v>
                </c:pt>
                <c:pt idx="154">
                  <c:v>74.217719174120688</c:v>
                </c:pt>
                <c:pt idx="155">
                  <c:v>75.227548324216002</c:v>
                </c:pt>
                <c:pt idx="156">
                  <c:v>76.24447529607454</c:v>
                </c:pt>
                <c:pt idx="157">
                  <c:v>77.268505484811001</c:v>
                </c:pt>
                <c:pt idx="158">
                  <c:v>78.299644260241209</c:v>
                </c:pt>
                <c:pt idx="159">
                  <c:v>79.337896966767062</c:v>
                </c:pt>
                <c:pt idx="160">
                  <c:v>80.383268923262705</c:v>
                </c:pt>
                <c:pt idx="161">
                  <c:v>81.435765422961623</c:v>
                </c:pt>
                <c:pt idx="162">
                  <c:v>82.495391733344903</c:v>
                </c:pt>
                <c:pt idx="163">
                  <c:v>83.562153096030471</c:v>
                </c:pt>
                <c:pt idx="164">
                  <c:v>84.636054726663374</c:v>
                </c:pt>
                <c:pt idx="165">
                  <c:v>85.717101814807137</c:v>
                </c:pt>
                <c:pt idx="166">
                  <c:v>86.805299523836055</c:v>
                </c:pt>
                <c:pt idx="167">
                  <c:v>87.900652990828576</c:v>
                </c:pt>
                <c:pt idx="168">
                  <c:v>89.003167326461664</c:v>
                </c:pt>
                <c:pt idx="169">
                  <c:v>90.112847614906087</c:v>
                </c:pt>
                <c:pt idx="170">
                  <c:v>91.229698913722814</c:v>
                </c:pt>
                <c:pt idx="171">
                  <c:v>92.3537262537603</c:v>
                </c:pt>
                <c:pt idx="172">
                  <c:v>93.48493463905281</c:v>
                </c:pt>
                <c:pt idx="173">
                  <c:v>94.623329046719618</c:v>
                </c:pt>
                <c:pt idx="174">
                  <c:v>95.768914426865308</c:v>
                </c:pt>
                <c:pt idx="175">
                  <c:v>96.921695702480889</c:v>
                </c:pt>
                <c:pt idx="176">
                  <c:v>98.081677769345987</c:v>
                </c:pt>
                <c:pt idx="177">
                  <c:v>99.248865495931881</c:v>
                </c:pt>
                <c:pt idx="178">
                  <c:v>100.42326372330557</c:v>
                </c:pt>
                <c:pt idx="179">
                  <c:v>101.60487726503467</c:v>
                </c:pt>
                <c:pt idx="180">
                  <c:v>102.79371090709337</c:v>
                </c:pt>
                <c:pt idx="181">
                  <c:v>103.98976940776923</c:v>
                </c:pt>
                <c:pt idx="182">
                  <c:v>105.1930574975709</c:v>
                </c:pt>
                <c:pt idx="183">
                  <c:v>106.40357987913686</c:v>
                </c:pt>
                <c:pt idx="184">
                  <c:v>107.6213412271449</c:v>
                </c:pt>
                <c:pt idx="185">
                  <c:v>108.8463461882227</c:v>
                </c:pt>
                <c:pt idx="186">
                  <c:v>110.07859938085919</c:v>
                </c:pt>
                <c:pt idx="187">
                  <c:v>111.31810539531691</c:v>
                </c:pt>
                <c:pt idx="188">
                  <c:v>112.56486879354514</c:v>
                </c:pt>
                <c:pt idx="189">
                  <c:v>113.81889410909413</c:v>
                </c:pt>
                <c:pt idx="190">
                  <c:v>115.08018584703002</c:v>
                </c:pt>
                <c:pt idx="191">
                  <c:v>116.34874848385078</c:v>
                </c:pt>
                <c:pt idx="192">
                  <c:v>117.62458646740303</c:v>
                </c:pt>
                <c:pt idx="193">
                  <c:v>118.90770421679971</c:v>
                </c:pt>
                <c:pt idx="194">
                  <c:v>120.19810612233867</c:v>
                </c:pt>
                <c:pt idx="195">
                  <c:v>121.49579654542211</c:v>
                </c:pt>
                <c:pt idx="196">
                  <c:v>122.80077981847698</c:v>
                </c:pt>
                <c:pt idx="197">
                  <c:v>124.11306024487618</c:v>
                </c:pt>
                <c:pt idx="198">
                  <c:v>125.43264209886067</c:v>
                </c:pt>
                <c:pt idx="199">
                  <c:v>126.75952962546245</c:v>
                </c:pt>
                <c:pt idx="200">
                  <c:v>128.09372704042849</c:v>
                </c:pt>
                <c:pt idx="201">
                  <c:v>129.43523853014537</c:v>
                </c:pt>
                <c:pt idx="202">
                  <c:v>130.784068251565</c:v>
                </c:pt>
                <c:pt idx="203">
                  <c:v>132.14022033213104</c:v>
                </c:pt>
                <c:pt idx="204">
                  <c:v>133.50369886970631</c:v>
                </c:pt>
                <c:pt idx="205">
                  <c:v>134.87450793250099</c:v>
                </c:pt>
                <c:pt idx="206">
                  <c:v>136.25265155900172</c:v>
                </c:pt>
                <c:pt idx="207">
                  <c:v>137.63813375790161</c:v>
                </c:pt>
                <c:pt idx="208">
                  <c:v>139.03095850803103</c:v>
                </c:pt>
                <c:pt idx="209">
                  <c:v>140.43112975828936</c:v>
                </c:pt>
                <c:pt idx="210">
                  <c:v>141.8386514275775</c:v>
                </c:pt>
                <c:pt idx="211">
                  <c:v>143.25352740473141</c:v>
                </c:pt>
                <c:pt idx="212">
                  <c:v>144.67576154845631</c:v>
                </c:pt>
                <c:pt idx="213">
                  <c:v>146.10535768726186</c:v>
                </c:pt>
                <c:pt idx="214">
                  <c:v>147.54231961939826</c:v>
                </c:pt>
                <c:pt idx="215">
                  <c:v>148.98665111279308</c:v>
                </c:pt>
                <c:pt idx="216">
                  <c:v>150.43835590498904</c:v>
                </c:pt>
                <c:pt idx="217">
                  <c:v>151.89743770308257</c:v>
                </c:pt>
                <c:pt idx="218">
                  <c:v>153.36390018366342</c:v>
                </c:pt>
                <c:pt idx="219">
                  <c:v>154.83774699275489</c:v>
                </c:pt>
                <c:pt idx="220">
                  <c:v>156.31898174575505</c:v>
                </c:pt>
                <c:pt idx="221">
                  <c:v>157.80760802737888</c:v>
                </c:pt>
                <c:pt idx="222">
                  <c:v>159.30362939160105</c:v>
                </c:pt>
                <c:pt idx="223">
                  <c:v>160.80704936159989</c:v>
                </c:pt>
                <c:pt idx="224">
                  <c:v>162.31787142970188</c:v>
                </c:pt>
                <c:pt idx="225">
                  <c:v>163.83609905732729</c:v>
                </c:pt>
                <c:pt idx="226">
                  <c:v>165.36173567493643</c:v>
                </c:pt>
                <c:pt idx="227">
                  <c:v>166.89478468197697</c:v>
                </c:pt>
                <c:pt idx="228">
                  <c:v>168.43524944683202</c:v>
                </c:pt>
                <c:pt idx="229">
                  <c:v>169.98313330676905</c:v>
                </c:pt>
                <c:pt idx="230">
                  <c:v>171.53843956788972</c:v>
                </c:pt>
                <c:pt idx="231">
                  <c:v>173.1011715050806</c:v>
                </c:pt>
                <c:pt idx="232">
                  <c:v>174.67133236196466</c:v>
                </c:pt>
                <c:pt idx="233">
                  <c:v>176.24892535085368</c:v>
                </c:pt>
                <c:pt idx="234">
                  <c:v>177.83395365270155</c:v>
                </c:pt>
                <c:pt idx="235">
                  <c:v>179.42642041705832</c:v>
                </c:pt>
                <c:pt idx="236">
                  <c:v>181.02632876202529</c:v>
                </c:pt>
                <c:pt idx="237">
                  <c:v>182.63368177421074</c:v>
                </c:pt>
                <c:pt idx="238">
                  <c:v>184.24848250868678</c:v>
                </c:pt>
                <c:pt idx="239">
                  <c:v>185.8707339889468</c:v>
                </c:pt>
                <c:pt idx="240">
                  <c:v>187.50043920686397</c:v>
                </c:pt>
                <c:pt idx="241">
                  <c:v>189.13760112265055</c:v>
                </c:pt>
                <c:pt idx="242">
                  <c:v>190.78222266481805</c:v>
                </c:pt>
                <c:pt idx="243">
                  <c:v>192.43430673013827</c:v>
                </c:pt>
                <c:pt idx="244">
                  <c:v>194.0938743296189</c:v>
                </c:pt>
                <c:pt idx="245">
                  <c:v>195.76096459640894</c:v>
                </c:pt>
                <c:pt idx="246">
                  <c:v>197.43561664759437</c:v>
                </c:pt>
                <c:pt idx="247">
                  <c:v>199.11786958396672</c:v>
                </c:pt>
                <c:pt idx="248">
                  <c:v>200.80776248978884</c:v>
                </c:pt>
                <c:pt idx="249">
                  <c:v>202.50533443255796</c:v>
                </c:pt>
                <c:pt idx="250">
                  <c:v>204.21062446276582</c:v>
                </c:pt>
                <c:pt idx="251">
                  <c:v>205.92367161365613</c:v>
                </c:pt>
                <c:pt idx="252">
                  <c:v>207.64451490097915</c:v>
                </c:pt>
                <c:pt idx="253">
                  <c:v>209.3731832852506</c:v>
                </c:pt>
                <c:pt idx="254">
                  <c:v>211.10968562359071</c:v>
                </c:pt>
                <c:pt idx="255">
                  <c:v>212.85402069765519</c:v>
                </c:pt>
                <c:pt idx="256">
                  <c:v>214.6061872521197</c:v>
                </c:pt>
                <c:pt idx="257">
                  <c:v>216.36618399470018</c:v>
                </c:pt>
                <c:pt idx="258">
                  <c:v>218.13400959617448</c:v>
                </c:pt>
                <c:pt idx="259">
                  <c:v>219.90966269040521</c:v>
                </c:pt>
                <c:pt idx="260">
                  <c:v>221.69314187436356</c:v>
                </c:pt>
                <c:pt idx="261">
                  <c:v>223.48444570815437</c:v>
                </c:pt>
                <c:pt idx="262">
                  <c:v>225.28357271504234</c:v>
                </c:pt>
                <c:pt idx="263">
                  <c:v>227.09052138147933</c:v>
                </c:pt>
                <c:pt idx="264">
                  <c:v>228.90529015713281</c:v>
                </c:pt>
                <c:pt idx="265">
                  <c:v>230.72787745491542</c:v>
                </c:pt>
                <c:pt idx="266">
                  <c:v>232.55828165101565</c:v>
                </c:pt>
                <c:pt idx="267">
                  <c:v>234.3965010849297</c:v>
                </c:pt>
                <c:pt idx="268">
                  <c:v>236.24253405949432</c:v>
                </c:pt>
                <c:pt idx="269">
                  <c:v>238.09637884092092</c:v>
                </c:pt>
                <c:pt idx="270">
                  <c:v>239.95803365883069</c:v>
                </c:pt>
                <c:pt idx="271">
                  <c:v>241.82749670629079</c:v>
                </c:pt>
                <c:pt idx="272">
                  <c:v>243.70476613985181</c:v>
                </c:pt>
                <c:pt idx="273">
                  <c:v>245.58984007958608</c:v>
                </c:pt>
                <c:pt idx="274">
                  <c:v>247.48271660912732</c:v>
                </c:pt>
                <c:pt idx="275">
                  <c:v>249.38339377571117</c:v>
                </c:pt>
                <c:pt idx="276">
                  <c:v>251.29186959021695</c:v>
                </c:pt>
                <c:pt idx="277">
                  <c:v>253.20814153835099</c:v>
                </c:pt>
                <c:pt idx="278">
                  <c:v>255.13220584680195</c:v>
                </c:pt>
                <c:pt idx="279">
                  <c:v>257.06405797173414</c:v>
                </c:pt>
                <c:pt idx="280">
                  <c:v>259.0036933323297</c:v>
                </c:pt>
                <c:pt idx="281">
                  <c:v>260.95110731087317</c:v>
                </c:pt>
                <c:pt idx="282">
                  <c:v>262.90629525283737</c:v>
                </c:pt>
                <c:pt idx="283">
                  <c:v>264.86925246697018</c:v>
                </c:pt>
                <c:pt idx="284">
                  <c:v>266.83997422538255</c:v>
                </c:pt>
                <c:pt idx="285">
                  <c:v>268.81845576363742</c:v>
                </c:pt>
                <c:pt idx="286">
                  <c:v>270.80469228083984</c:v>
                </c:pt>
                <c:pt idx="287">
                  <c:v>272.79867893972812</c:v>
                </c:pt>
                <c:pt idx="288">
                  <c:v>274.80041086676601</c:v>
                </c:pt>
                <c:pt idx="289">
                  <c:v>276.80988315223601</c:v>
                </c:pt>
                <c:pt idx="290">
                  <c:v>278.82709085033372</c:v>
                </c:pt>
                <c:pt idx="291">
                  <c:v>280.85202897926303</c:v>
                </c:pt>
                <c:pt idx="292">
                  <c:v>282.88469252133262</c:v>
                </c:pt>
                <c:pt idx="293">
                  <c:v>284.92507642305338</c:v>
                </c:pt>
                <c:pt idx="294">
                  <c:v>286.97317559523674</c:v>
                </c:pt>
                <c:pt idx="295">
                  <c:v>289.02898491309418</c:v>
                </c:pt>
                <c:pt idx="296">
                  <c:v>291.09249921633767</c:v>
                </c:pt>
                <c:pt idx="297">
                  <c:v>293.16371330928121</c:v>
                </c:pt>
                <c:pt idx="298">
                  <c:v>295.24262196094304</c:v>
                </c:pt>
                <c:pt idx="299">
                  <c:v>297.32921990514927</c:v>
                </c:pt>
                <c:pt idx="300">
                  <c:v>299.42350184063832</c:v>
                </c:pt>
                <c:pt idx="301">
                  <c:v>301.52546243116609</c:v>
                </c:pt>
                <c:pt idx="302">
                  <c:v>303.63509630561259</c:v>
                </c:pt>
                <c:pt idx="303">
                  <c:v>305.75239805808911</c:v>
                </c:pt>
                <c:pt idx="304">
                  <c:v>307.8773622480465</c:v>
                </c:pt>
                <c:pt idx="305">
                  <c:v>310.00998340038433</c:v>
                </c:pt>
                <c:pt idx="306">
                  <c:v>312.15025600556129</c:v>
                </c:pt>
                <c:pt idx="307">
                  <c:v>314.29817451970604</c:v>
                </c:pt>
                <c:pt idx="308">
                  <c:v>316.45373336472932</c:v>
                </c:pt>
                <c:pt idx="309">
                  <c:v>318.61692692843701</c:v>
                </c:pt>
                <c:pt idx="310">
                  <c:v>320.78774956464389</c:v>
                </c:pt>
                <c:pt idx="311">
                  <c:v>322.96619559328838</c:v>
                </c:pt>
                <c:pt idx="312">
                  <c:v>325.15225930054828</c:v>
                </c:pt>
                <c:pt idx="313">
                  <c:v>327.34593493895738</c:v>
                </c:pt>
                <c:pt idx="314">
                  <c:v>329.54721672752288</c:v>
                </c:pt>
                <c:pt idx="315">
                  <c:v>331.7560988518436</c:v>
                </c:pt>
                <c:pt idx="316">
                  <c:v>333.97257546422952</c:v>
                </c:pt>
                <c:pt idx="317">
                  <c:v>336.1966406838215</c:v>
                </c:pt>
                <c:pt idx="318">
                  <c:v>338.42828859671243</c:v>
                </c:pt>
                <c:pt idx="319">
                  <c:v>340.66751325606907</c:v>
                </c:pt>
                <c:pt idx="320">
                  <c:v>342.91430868225456</c:v>
                </c:pt>
                <c:pt idx="321">
                  <c:v>345.1686688629519</c:v>
                </c:pt>
                <c:pt idx="322">
                  <c:v>347.43058775328842</c:v>
                </c:pt>
                <c:pt idx="323">
                  <c:v>349.70005927596083</c:v>
                </c:pt>
                <c:pt idx="324">
                  <c:v>351.97707732136115</c:v>
                </c:pt>
                <c:pt idx="325">
                  <c:v>354.26163574770351</c:v>
                </c:pt>
                <c:pt idx="326">
                  <c:v>356.55372838115181</c:v>
                </c:pt>
                <c:pt idx="327">
                  <c:v>358.85334901594808</c:v>
                </c:pt>
                <c:pt idx="328">
                  <c:v>361.16049141454153</c:v>
                </c:pt>
                <c:pt idx="329">
                  <c:v>363.4751493077186</c:v>
                </c:pt>
                <c:pt idx="330">
                  <c:v>365.79731639473368</c:v>
                </c:pt>
                <c:pt idx="331">
                  <c:v>368.12698634344076</c:v>
                </c:pt>
                <c:pt idx="332">
                  <c:v>370.46415279042537</c:v>
                </c:pt>
                <c:pt idx="333">
                  <c:v>372.80880934113793</c:v>
                </c:pt>
                <c:pt idx="334">
                  <c:v>375.16094957002736</c:v>
                </c:pt>
                <c:pt idx="335">
                  <c:v>377.52056702067557</c:v>
                </c:pt>
                <c:pt idx="336">
                  <c:v>379.88765520593284</c:v>
                </c:pt>
                <c:pt idx="337">
                  <c:v>382.2622076080537</c:v>
                </c:pt>
                <c:pt idx="338">
                  <c:v>384.64421767883363</c:v>
                </c:pt>
                <c:pt idx="339">
                  <c:v>387.03367883974653</c:v>
                </c:pt>
                <c:pt idx="340">
                  <c:v>389.43058448208274</c:v>
                </c:pt>
                <c:pt idx="341">
                  <c:v>391.83492796708799</c:v>
                </c:pt>
                <c:pt idx="342">
                  <c:v>394.24670262610277</c:v>
                </c:pt>
                <c:pt idx="343">
                  <c:v>396.66590176070264</c:v>
                </c:pt>
                <c:pt idx="344">
                  <c:v>399.09251905555942</c:v>
                </c:pt>
                <c:pt idx="345">
                  <c:v>401.52655229540341</c:v>
                </c:pt>
                <c:pt idx="346">
                  <c:v>403.9680029523476</c:v>
                </c:pt>
                <c:pt idx="347">
                  <c:v>406.41687246905366</c:v>
                </c:pt>
                <c:pt idx="348">
                  <c:v>408.87316225875742</c:v>
                </c:pt>
                <c:pt idx="349">
                  <c:v>411.33687370529537</c:v>
                </c:pt>
                <c:pt idx="350">
                  <c:v>413.8080081631316</c:v>
                </c:pt>
                <c:pt idx="351">
                  <c:v>416.28656695738573</c:v>
                </c:pt>
                <c:pt idx="352">
                  <c:v>418.77255138386136</c:v>
                </c:pt>
                <c:pt idx="353">
                  <c:v>421.2659627090755</c:v>
                </c:pt>
                <c:pt idx="354">
                  <c:v>423.76680217028837</c:v>
                </c:pt>
                <c:pt idx="355">
                  <c:v>426.27507097553433</c:v>
                </c:pt>
                <c:pt idx="356">
                  <c:v>428.79077030365323</c:v>
                </c:pt>
                <c:pt idx="357">
                  <c:v>431.31390130432266</c:v>
                </c:pt>
                <c:pt idx="358">
                  <c:v>433.84446509809072</c:v>
                </c:pt>
                <c:pt idx="359">
                  <c:v>436.38246277640991</c:v>
                </c:pt>
                <c:pt idx="360">
                  <c:v>438.92789540167132</c:v>
                </c:pt>
                <c:pt idx="361">
                  <c:v>441.48076400723971</c:v>
                </c:pt>
                <c:pt idx="362">
                  <c:v>444.04106959748941</c:v>
                </c:pt>
                <c:pt idx="363">
                  <c:v>446.60881314784081</c:v>
                </c:pt>
                <c:pt idx="364">
                  <c:v>449.18399560479753</c:v>
                </c:pt>
                <c:pt idx="365">
                  <c:v>451.76661788598454</c:v>
                </c:pt>
                <c:pt idx="366">
                  <c:v>454.35668088018673</c:v>
                </c:pt>
                <c:pt idx="367">
                  <c:v>456.95418544738828</c:v>
                </c:pt>
                <c:pt idx="368">
                  <c:v>459.55913241881296</c:v>
                </c:pt>
                <c:pt idx="369">
                  <c:v>462.17152259696473</c:v>
                </c:pt>
                <c:pt idx="370">
                  <c:v>464.79135675566948</c:v>
                </c:pt>
                <c:pt idx="371">
                  <c:v>467.41863564011715</c:v>
                </c:pt>
                <c:pt idx="372">
                  <c:v>470.05335996690474</c:v>
                </c:pt>
                <c:pt idx="373">
                  <c:v>472.69552771837709</c:v>
                </c:pt>
                <c:pt idx="374">
                  <c:v>475.34513414303802</c:v>
                </c:pt>
                <c:pt idx="375">
                  <c:v>478.00217446170257</c:v>
                </c:pt>
                <c:pt idx="376">
                  <c:v>480.66664386761801</c:v>
                </c:pt>
                <c:pt idx="377">
                  <c:v>483.33853752658592</c:v>
                </c:pt>
                <c:pt idx="378">
                  <c:v>486.01785057708435</c:v>
                </c:pt>
                <c:pt idx="379">
                  <c:v>488.70457813039098</c:v>
                </c:pt>
                <c:pt idx="380">
                  <c:v>491.39871527070659</c:v>
                </c:pt>
                <c:pt idx="381">
                  <c:v>494.10025705527931</c:v>
                </c:pt>
                <c:pt idx="382">
                  <c:v>496.80919851452944</c:v>
                </c:pt>
                <c:pt idx="383">
                  <c:v>499.52553465217483</c:v>
                </c:pt>
                <c:pt idx="384">
                  <c:v>502.24926044535664</c:v>
                </c:pt>
                <c:pt idx="385">
                  <c:v>504.98037084476618</c:v>
                </c:pt>
                <c:pt idx="386">
                  <c:v>507.71886077477166</c:v>
                </c:pt>
                <c:pt idx="387">
                  <c:v>510.46472513354604</c:v>
                </c:pt>
                <c:pt idx="388">
                  <c:v>513.21795879319507</c:v>
                </c:pt>
                <c:pt idx="389">
                  <c:v>515.97855659988625</c:v>
                </c:pt>
                <c:pt idx="390">
                  <c:v>518.7465133739779</c:v>
                </c:pt>
                <c:pt idx="391">
                  <c:v>521.52182391014901</c:v>
                </c:pt>
                <c:pt idx="392">
                  <c:v>524.30448297752969</c:v>
                </c:pt>
                <c:pt idx="393">
                  <c:v>527.09448531983196</c:v>
                </c:pt>
                <c:pt idx="394">
                  <c:v>529.89182565548128</c:v>
                </c:pt>
                <c:pt idx="395">
                  <c:v>532.6964986777482</c:v>
                </c:pt>
                <c:pt idx="396">
                  <c:v>535.50849905488099</c:v>
                </c:pt>
                <c:pt idx="397">
                  <c:v>538.3278214302386</c:v>
                </c:pt>
                <c:pt idx="398">
                  <c:v>541.15446042242388</c:v>
                </c:pt>
                <c:pt idx="399">
                  <c:v>543.9884106254176</c:v>
                </c:pt>
                <c:pt idx="400">
                  <c:v>546.82966660871284</c:v>
                </c:pt>
                <c:pt idx="401">
                  <c:v>549.67822291744983</c:v>
                </c:pt>
                <c:pt idx="402">
                  <c:v>552.53407407255133</c:v>
                </c:pt>
                <c:pt idx="403">
                  <c:v>555.39721457085841</c:v>
                </c:pt>
                <c:pt idx="404">
                  <c:v>558.26763888526659</c:v>
                </c:pt>
                <c:pt idx="405">
                  <c:v>561.1453414648629</c:v>
                </c:pt>
                <c:pt idx="406">
                  <c:v>564.0303167350628</c:v>
                </c:pt>
                <c:pt idx="407">
                  <c:v>566.92255909774769</c:v>
                </c:pt>
                <c:pt idx="408">
                  <c:v>569.82206293140325</c:v>
                </c:pt>
                <c:pt idx="409">
                  <c:v>572.72881953016315</c:v>
                </c:pt>
                <c:pt idx="410">
                  <c:v>575.6428163391414</c:v>
                </c:pt>
                <c:pt idx="411">
                  <c:v>578.56404001697092</c:v>
                </c:pt>
                <c:pt idx="412">
                  <c:v>581.49247720211542</c:v>
                </c:pt>
                <c:pt idx="413">
                  <c:v>584.42811451313173</c:v>
                </c:pt>
                <c:pt idx="414">
                  <c:v>587.3709385489326</c:v>
                </c:pt>
                <c:pt idx="415">
                  <c:v>590.32093588904911</c:v>
                </c:pt>
                <c:pt idx="416">
                  <c:v>593.27809309389295</c:v>
                </c:pt>
                <c:pt idx="417">
                  <c:v>596.24239670501879</c:v>
                </c:pt>
                <c:pt idx="418">
                  <c:v>599.21383324538624</c:v>
                </c:pt>
                <c:pt idx="419">
                  <c:v>602.19238921962199</c:v>
                </c:pt>
                <c:pt idx="420">
                  <c:v>605.17805111428163</c:v>
                </c:pt>
                <c:pt idx="421">
                  <c:v>608.1708053981115</c:v>
                </c:pt>
                <c:pt idx="422">
                  <c:v>611.17063852231001</c:v>
                </c:pt>
                <c:pt idx="423">
                  <c:v>614.17753692078929</c:v>
                </c:pt>
                <c:pt idx="424">
                  <c:v>617.19148701043616</c:v>
                </c:pt>
                <c:pt idx="425">
                  <c:v>620.21247519137319</c:v>
                </c:pt>
                <c:pt idx="426">
                  <c:v>623.24048784721958</c:v>
                </c:pt>
                <c:pt idx="427">
                  <c:v>626.27551134535156</c:v>
                </c:pt>
                <c:pt idx="428">
                  <c:v>629.31753203716289</c:v>
                </c:pt>
                <c:pt idx="429">
                  <c:v>632.36653625832491</c:v>
                </c:pt>
                <c:pt idx="430">
                  <c:v>635.42251032904619</c:v>
                </c:pt>
                <c:pt idx="431">
                  <c:v>638.48544055433229</c:v>
                </c:pt>
                <c:pt idx="432">
                  <c:v>641.55531322424508</c:v>
                </c:pt>
                <c:pt idx="433">
                  <c:v>644.63211461416165</c:v>
                </c:pt>
                <c:pt idx="434">
                  <c:v>647.71583098503299</c:v>
                </c:pt>
                <c:pt idx="435">
                  <c:v>650.80644858364246</c:v>
                </c:pt>
                <c:pt idx="436">
                  <c:v>653.90395364286383</c:v>
                </c:pt>
                <c:pt idx="437">
                  <c:v>657.00833238191899</c:v>
                </c:pt>
                <c:pt idx="438">
                  <c:v>660.1195710066354</c:v>
                </c:pt>
                <c:pt idx="439">
                  <c:v>663.23765570970318</c:v>
                </c:pt>
                <c:pt idx="440">
                  <c:v>666.36257267093174</c:v>
                </c:pt>
                <c:pt idx="441">
                  <c:v>669.49430805750615</c:v>
                </c:pt>
                <c:pt idx="442">
                  <c:v>672.63284802424289</c:v>
                </c:pt>
                <c:pt idx="443">
                  <c:v>675.77817871384559</c:v>
                </c:pt>
                <c:pt idx="444">
                  <c:v>678.93028625716022</c:v>
                </c:pt>
                <c:pt idx="445">
                  <c:v>682.08915677342952</c:v>
                </c:pt>
                <c:pt idx="446">
                  <c:v>685.25477637054757</c:v>
                </c:pt>
                <c:pt idx="447">
                  <c:v>688.42713114531364</c:v>
                </c:pt>
                <c:pt idx="448">
                  <c:v>691.60620718368534</c:v>
                </c:pt>
                <c:pt idx="449">
                  <c:v>694.79199056103187</c:v>
                </c:pt>
                <c:pt idx="450">
                  <c:v>697.98446734238644</c:v>
                </c:pt>
                <c:pt idx="451">
                  <c:v>701.18362358269826</c:v>
                </c:pt>
                <c:pt idx="452">
                  <c:v>704.38944532708422</c:v>
                </c:pt>
                <c:pt idx="453">
                  <c:v>707.60191861107967</c:v>
                </c:pt>
                <c:pt idx="454">
                  <c:v>710.82102946088935</c:v>
                </c:pt>
                <c:pt idx="455">
                  <c:v>714.04676389363703</c:v>
                </c:pt>
                <c:pt idx="456">
                  <c:v>717.27910791761542</c:v>
                </c:pt>
                <c:pt idx="457">
                  <c:v>720.51804753253498</c:v>
                </c:pt>
                <c:pt idx="458">
                  <c:v>723.76356872977237</c:v>
                </c:pt>
                <c:pt idx="459">
                  <c:v>727.01565749261829</c:v>
                </c:pt>
                <c:pt idx="460">
                  <c:v>730.27429979652504</c:v>
                </c:pt>
                <c:pt idx="461">
                  <c:v>733.53948160935317</c:v>
                </c:pt>
                <c:pt idx="462">
                  <c:v>736.81118889161769</c:v>
                </c:pt>
                <c:pt idx="463">
                  <c:v>740.08940759673385</c:v>
                </c:pt>
                <c:pt idx="464">
                  <c:v>743.37412367126205</c:v>
                </c:pt>
                <c:pt idx="465">
                  <c:v>746.66532305515216</c:v>
                </c:pt>
                <c:pt idx="466">
                  <c:v>749.96299168198766</c:v>
                </c:pt>
                <c:pt idx="467">
                  <c:v>753.26711547922866</c:v>
                </c:pt>
                <c:pt idx="468">
                  <c:v>756.57768036845459</c:v>
                </c:pt>
                <c:pt idx="469">
                  <c:v>759.89467226560612</c:v>
                </c:pt>
                <c:pt idx="470">
                  <c:v>763.21807708122628</c:v>
                </c:pt>
                <c:pt idx="471">
                  <c:v>766.54788072070153</c:v>
                </c:pt>
                <c:pt idx="472">
                  <c:v>769.88406908450156</c:v>
                </c:pt>
                <c:pt idx="473">
                  <c:v>773.22662806841856</c:v>
                </c:pt>
                <c:pt idx="474">
                  <c:v>776.57554356380604</c:v>
                </c:pt>
                <c:pt idx="475">
                  <c:v>779.93080145781676</c:v>
                </c:pt>
                <c:pt idx="476">
                  <c:v>783.29238763364003</c:v>
                </c:pt>
                <c:pt idx="477">
                  <c:v>786.6602879707383</c:v>
                </c:pt>
                <c:pt idx="478">
                  <c:v>790.03448834508322</c:v>
                </c:pt>
                <c:pt idx="479">
                  <c:v>793.4149746293906</c:v>
                </c:pt>
                <c:pt idx="480">
                  <c:v>796.80173269335512</c:v>
                </c:pt>
                <c:pt idx="481">
                  <c:v>800.19474840388386</c:v>
                </c:pt>
                <c:pt idx="482">
                  <c:v>803.59400762532948</c:v>
                </c:pt>
                <c:pt idx="483">
                  <c:v>806.99949621972257</c:v>
                </c:pt>
                <c:pt idx="484">
                  <c:v>810.41120004700292</c:v>
                </c:pt>
                <c:pt idx="485">
                  <c:v>813.82910496525051</c:v>
                </c:pt>
                <c:pt idx="486">
                  <c:v>817.2531968309155</c:v>
                </c:pt>
                <c:pt idx="487">
                  <c:v>820.68346149904744</c:v>
                </c:pt>
                <c:pt idx="488">
                  <c:v>824.11988482352376</c:v>
                </c:pt>
                <c:pt idx="489">
                  <c:v>827.5624526572775</c:v>
                </c:pt>
                <c:pt idx="490">
                  <c:v>831.01115085252411</c:v>
                </c:pt>
                <c:pt idx="491">
                  <c:v>834.46596526098767</c:v>
                </c:pt>
                <c:pt idx="492">
                  <c:v>837.92688173412637</c:v>
                </c:pt>
                <c:pt idx="493">
                  <c:v>841.39388612335665</c:v>
                </c:pt>
                <c:pt idx="494">
                  <c:v>844.86696428027733</c:v>
                </c:pt>
                <c:pt idx="495">
                  <c:v>848.34610205689194</c:v>
                </c:pt>
                <c:pt idx="496">
                  <c:v>851.83128530583144</c:v>
                </c:pt>
                <c:pt idx="497">
                  <c:v>855.32249889427737</c:v>
                </c:pt>
                <c:pt idx="498">
                  <c:v>858.81972571805409</c:v>
                </c:pt>
                <c:pt idx="499">
                  <c:v>862.32294768994632</c:v>
                </c:pt>
                <c:pt idx="500">
                  <c:v>865.83214672787699</c:v>
                </c:pt>
                <c:pt idx="501">
                  <c:v>869.3473047551829</c:v>
                </c:pt>
                <c:pt idx="502">
                  <c:v>872.86840370088896</c:v>
                </c:pt>
                <c:pt idx="503">
                  <c:v>876.39542549998146</c:v>
                </c:pt>
                <c:pt idx="504">
                  <c:v>879.92835209367956</c:v>
                </c:pt>
                <c:pt idx="505">
                  <c:v>883.46716542970603</c:v>
                </c:pt>
                <c:pt idx="506">
                  <c:v>887.01184746255592</c:v>
                </c:pt>
                <c:pt idx="507">
                  <c:v>890.56238015376402</c:v>
                </c:pt>
                <c:pt idx="508">
                  <c:v>894.11874547217155</c:v>
                </c:pt>
                <c:pt idx="509">
                  <c:v>897.68092539419058</c:v>
                </c:pt>
                <c:pt idx="510">
                  <c:v>901.24890190406768</c:v>
                </c:pt>
                <c:pt idx="511">
                  <c:v>904.82265699414586</c:v>
                </c:pt>
                <c:pt idx="512">
                  <c:v>908.40217266512525</c:v>
                </c:pt>
                <c:pt idx="513">
                  <c:v>911.9874309263223</c:v>
                </c:pt>
                <c:pt idx="514">
                  <c:v>915.57841379592753</c:v>
                </c:pt>
                <c:pt idx="515">
                  <c:v>919.1751033012622</c:v>
                </c:pt>
                <c:pt idx="516">
                  <c:v>922.77748147903287</c:v>
                </c:pt>
                <c:pt idx="517">
                  <c:v>926.38553037558529</c:v>
                </c:pt>
                <c:pt idx="518">
                  <c:v>929.99923204715628</c:v>
                </c:pt>
                <c:pt idx="519">
                  <c:v>933.61856856012434</c:v>
                </c:pt>
                <c:pt idx="520">
                  <c:v>937.24352199125929</c:v>
                </c:pt>
                <c:pt idx="521">
                  <c:v>940.87407442796939</c:v>
                </c:pt>
                <c:pt idx="522">
                  <c:v>944.51020796854823</c:v>
                </c:pt>
                <c:pt idx="523">
                  <c:v>948.15190472241943</c:v>
                </c:pt>
                <c:pt idx="524">
                  <c:v>951.79914681037974</c:v>
                </c:pt>
                <c:pt idx="525">
                  <c:v>955.45191636484151</c:v>
                </c:pt>
                <c:pt idx="526">
                  <c:v>959.1101955300727</c:v>
                </c:pt>
                <c:pt idx="527">
                  <c:v>962.77396646243608</c:v>
                </c:pt>
                <c:pt idx="528">
                  <c:v>966.44321133062681</c:v>
                </c:pt>
                <c:pt idx="529">
                  <c:v>970.11791231590848</c:v>
                </c:pt>
                <c:pt idx="530">
                  <c:v>973.79805161234765</c:v>
                </c:pt>
                <c:pt idx="531">
                  <c:v>977.48361142704675</c:v>
                </c:pt>
                <c:pt idx="532">
                  <c:v>981.17457398037595</c:v>
                </c:pt>
                <c:pt idx="533">
                  <c:v>984.8709215062031</c:v>
                </c:pt>
                <c:pt idx="534">
                  <c:v>988.57263625212261</c:v>
                </c:pt>
                <c:pt idx="535">
                  <c:v>992.27970047968222</c:v>
                </c:pt>
                <c:pt idx="536">
                  <c:v>995.99209646460884</c:v>
                </c:pt>
                <c:pt idx="537">
                  <c:v>999.70980649703267</c:v>
                </c:pt>
                <c:pt idx="538">
                  <c:v>1003.4328128817098</c:v>
                </c:pt>
                <c:pt idx="539">
                  <c:v>1007.1610979382432</c:v>
                </c:pt>
                <c:pt idx="540">
                  <c:v>1010.8946440013026</c:v>
                </c:pt>
                <c:pt idx="541">
                  <c:v>1014.6334334208424</c:v>
                </c:pt>
                <c:pt idx="542">
                  <c:v>1018.3774485623182</c:v>
                </c:pt>
                <c:pt idx="543">
                  <c:v>1022.1266718069024</c:v>
                </c:pt>
                <c:pt idx="544">
                  <c:v>1025.881085551697</c:v>
                </c:pt>
                <c:pt idx="545">
                  <c:v>1029.6406722099459</c:v>
                </c:pt>
                <c:pt idx="546">
                  <c:v>1033.4054142112461</c:v>
                </c:pt>
                <c:pt idx="547">
                  <c:v>1037.1752940017561</c:v>
                </c:pt>
                <c:pt idx="548">
                  <c:v>1040.9502940444031</c:v>
                </c:pt>
                <c:pt idx="549">
                  <c:v>1044.7303968190897</c:v>
                </c:pt>
                <c:pt idx="550">
                  <c:v>1048.5155841551907</c:v>
                </c:pt>
                <c:pt idx="551">
                  <c:v>1052.3058356734639</c:v>
                </c:pt>
                <c:pt idx="552">
                  <c:v>1056.101129456782</c:v>
                </c:pt>
                <c:pt idx="553">
                  <c:v>1059.901443611476</c:v>
                </c:pt>
                <c:pt idx="554">
                  <c:v>1063.7067562675916</c:v>
                </c:pt>
                <c:pt idx="555">
                  <c:v>1067.5170455791435</c:v>
                </c:pt>
                <c:pt idx="556">
                  <c:v>1071.3322897243679</c:v>
                </c:pt>
                <c:pt idx="557">
                  <c:v>1075.1524669059713</c:v>
                </c:pt>
                <c:pt idx="558">
                  <c:v>1078.9775553513787</c:v>
                </c:pt>
                <c:pt idx="559">
                  <c:v>1082.8075333129789</c:v>
                </c:pt>
                <c:pt idx="560">
                  <c:v>1086.6423790683671</c:v>
                </c:pt>
                <c:pt idx="561">
                  <c:v>1090.4820709205869</c:v>
                </c:pt>
                <c:pt idx="562">
                  <c:v>1094.3265871983681</c:v>
                </c:pt>
                <c:pt idx="563">
                  <c:v>1098.1759062563633</c:v>
                </c:pt>
                <c:pt idx="564">
                  <c:v>1102.0300064753831</c:v>
                </c:pt>
                <c:pt idx="565">
                  <c:v>1105.8888662626268</c:v>
                </c:pt>
                <c:pt idx="566">
                  <c:v>1109.7524640519139</c:v>
                </c:pt>
                <c:pt idx="567">
                  <c:v>1113.6207783039104</c:v>
                </c:pt>
                <c:pt idx="568">
                  <c:v>1117.4937875063551</c:v>
                </c:pt>
                <c:pt idx="569">
                  <c:v>1121.3714701742833</c:v>
                </c:pt>
                <c:pt idx="570">
                  <c:v>1125.253804850247</c:v>
                </c:pt>
                <c:pt idx="571">
                  <c:v>1129.1407701045343</c:v>
                </c:pt>
                <c:pt idx="572">
                  <c:v>1133.0323445353863</c:v>
                </c:pt>
                <c:pt idx="573">
                  <c:v>1136.9285067692117</c:v>
                </c:pt>
                <c:pt idx="574">
                  <c:v>1140.8292354607991</c:v>
                </c:pt>
                <c:pt idx="575">
                  <c:v>1144.734509293527</c:v>
                </c:pt>
                <c:pt idx="576">
                  <c:v>1148.6443069795723</c:v>
                </c:pt>
                <c:pt idx="577">
                  <c:v>1152.5586072601161</c:v>
                </c:pt>
                <c:pt idx="578">
                  <c:v>1156.4773889055473</c:v>
                </c:pt>
                <c:pt idx="579">
                  <c:v>1160.400630715664</c:v>
                </c:pt>
                <c:pt idx="580">
                  <c:v>1164.3283115198733</c:v>
                </c:pt>
                <c:pt idx="581">
                  <c:v>1168.2604101773886</c:v>
                </c:pt>
                <c:pt idx="582">
                  <c:v>1172.1969055774241</c:v>
                </c:pt>
                <c:pt idx="583">
                  <c:v>1176.1377766393882</c:v>
                </c:pt>
                <c:pt idx="584">
                  <c:v>1180.0830023130745</c:v>
                </c:pt>
                <c:pt idx="585">
                  <c:v>1184.0325615788502</c:v>
                </c:pt>
                <c:pt idx="586">
                  <c:v>1187.9864334478423</c:v>
                </c:pt>
                <c:pt idx="587">
                  <c:v>1191.9445969621229</c:v>
                </c:pt>
                <c:pt idx="588">
                  <c:v>1195.9070311948908</c:v>
                </c:pt>
                <c:pt idx="589">
                  <c:v>1199.8737152506517</c:v>
                </c:pt>
                <c:pt idx="590">
                  <c:v>1203.8446282653968</c:v>
                </c:pt>
                <c:pt idx="591">
                  <c:v>1207.8197494067781</c:v>
                </c:pt>
                <c:pt idx="592">
                  <c:v>1211.7990578742827</c:v>
                </c:pt>
                <c:pt idx="593">
                  <c:v>1215.7825328994043</c:v>
                </c:pt>
                <c:pt idx="594">
                  <c:v>1219.7701537458129</c:v>
                </c:pt>
                <c:pt idx="595">
                  <c:v>1223.7618997095224</c:v>
                </c:pt>
                <c:pt idx="596">
                  <c:v>1227.757750119056</c:v>
                </c:pt>
                <c:pt idx="597">
                  <c:v>1231.7576843356101</c:v>
                </c:pt>
                <c:pt idx="598">
                  <c:v>1235.7616817532146</c:v>
                </c:pt>
                <c:pt idx="599">
                  <c:v>1239.7697217988934</c:v>
                </c:pt>
                <c:pt idx="600">
                  <c:v>1243.7817839328206</c:v>
                </c:pt>
                <c:pt idx="601">
                  <c:v>1247.7978476484764</c:v>
                </c:pt>
                <c:pt idx="602">
                  <c:v>1251.8178924727995</c:v>
                </c:pt>
                <c:pt idx="603">
                  <c:v>1255.841897966339</c:v>
                </c:pt>
                <c:pt idx="604">
                  <c:v>1259.8698437234027</c:v>
                </c:pt>
                <c:pt idx="605">
                  <c:v>1263.9017093722046</c:v>
                </c:pt>
                <c:pt idx="606">
                  <c:v>1267.9374745750094</c:v>
                </c:pt>
                <c:pt idx="607">
                  <c:v>1271.9771190282763</c:v>
                </c:pt>
                <c:pt idx="608">
                  <c:v>1276.0206224627989</c:v>
                </c:pt>
                <c:pt idx="609">
                  <c:v>1280.067964643845</c:v>
                </c:pt>
                <c:pt idx="610">
                  <c:v>1284.1191253712932</c:v>
                </c:pt>
                <c:pt idx="611">
                  <c:v>1288.1740844797682</c:v>
                </c:pt>
                <c:pt idx="612">
                  <c:v>1292.2328159011945</c:v>
                </c:pt>
                <c:pt idx="613">
                  <c:v>1296.2952876749196</c:v>
                </c:pt>
                <c:pt idx="614">
                  <c:v>1300.3614678954825</c:v>
                </c:pt>
                <c:pt idx="615">
                  <c:v>1304.4313247128759</c:v>
                </c:pt>
                <c:pt idx="616">
                  <c:v>1308.5048263328038</c:v>
                </c:pt>
                <c:pt idx="617">
                  <c:v>1312.5819410169356</c:v>
                </c:pt>
                <c:pt idx="618">
                  <c:v>1316.6626370831552</c:v>
                </c:pt>
                <c:pt idx="619">
                  <c:v>1320.7468829058062</c:v>
                </c:pt>
                <c:pt idx="620">
                  <c:v>1324.8346469159328</c:v>
                </c:pt>
                <c:pt idx="621">
                  <c:v>1328.9258976015165</c:v>
                </c:pt>
                <c:pt idx="622">
                  <c:v>1333.0206035077085</c:v>
                </c:pt>
                <c:pt idx="623">
                  <c:v>1337.1187332370578</c:v>
                </c:pt>
                <c:pt idx="624">
                  <c:v>1341.2202554497353</c:v>
                </c:pt>
                <c:pt idx="625">
                  <c:v>1345.3251388637539</c:v>
                </c:pt>
                <c:pt idx="626">
                  <c:v>1349.433352255184</c:v>
                </c:pt>
                <c:pt idx="627">
                  <c:v>1353.5448644583653</c:v>
                </c:pt>
                <c:pt idx="628">
                  <c:v>1357.6596443661144</c:v>
                </c:pt>
                <c:pt idx="629">
                  <c:v>1361.7776609299278</c:v>
                </c:pt>
                <c:pt idx="630">
                  <c:v>1365.8988831601821</c:v>
                </c:pt>
                <c:pt idx="631">
                  <c:v>1370.0232801263282</c:v>
                </c:pt>
                <c:pt idx="632">
                  <c:v>1374.1508209570841</c:v>
                </c:pt>
                <c:pt idx="633">
                  <c:v>1378.2814748406211</c:v>
                </c:pt>
                <c:pt idx="634">
                  <c:v>1382.4152110247474</c:v>
                </c:pt>
                <c:pt idx="635">
                  <c:v>1386.5519988170877</c:v>
                </c:pt>
                <c:pt idx="636">
                  <c:v>1390.6918075852589</c:v>
                </c:pt>
                <c:pt idx="637">
                  <c:v>1394.8346067570405</c:v>
                </c:pt>
                <c:pt idx="638">
                  <c:v>1398.980365820544</c:v>
                </c:pt>
                <c:pt idx="639">
                  <c:v>1403.1290543243749</c:v>
                </c:pt>
                <c:pt idx="640">
                  <c:v>1407.2806418777936</c:v>
                </c:pt>
                <c:pt idx="641">
                  <c:v>1411.4350981508712</c:v>
                </c:pt>
                <c:pt idx="642">
                  <c:v>1415.592392874642</c:v>
                </c:pt>
                <c:pt idx="643">
                  <c:v>1419.7524958412516</c:v>
                </c:pt>
                <c:pt idx="644">
                  <c:v>1423.9153769041015</c:v>
                </c:pt>
                <c:pt idx="645">
                  <c:v>1428.0810059779908</c:v>
                </c:pt>
                <c:pt idx="646">
                  <c:v>1432.2493365822081</c:v>
                </c:pt>
                <c:pt idx="647">
                  <c:v>1436.4203040432988</c:v>
                </c:pt>
                <c:pt idx="648">
                  <c:v>1440.593841988584</c:v>
                </c:pt>
                <c:pt idx="649">
                  <c:v>1444.7698841802992</c:v>
                </c:pt>
                <c:pt idx="650">
                  <c:v>1448.9483645163125</c:v>
                </c:pt>
                <c:pt idx="651">
                  <c:v>1453.1292170308272</c:v>
                </c:pt>
                <c:pt idx="652">
                  <c:v>1457.3123758950676</c:v>
                </c:pt>
                <c:pt idx="653">
                  <c:v>1461.4977754179488</c:v>
                </c:pt>
                <c:pt idx="654">
                  <c:v>1465.6853500467309</c:v>
                </c:pt>
                <c:pt idx="655">
                  <c:v>1469.8750343676566</c:v>
                </c:pt>
                <c:pt idx="656">
                  <c:v>1474.0667631065728</c:v>
                </c:pt>
                <c:pt idx="657">
                  <c:v>1478.2604711295382</c:v>
                </c:pt>
                <c:pt idx="658">
                  <c:v>1482.456093443413</c:v>
                </c:pt>
                <c:pt idx="659">
                  <c:v>1486.6535651964339</c:v>
                </c:pt>
                <c:pt idx="660">
                  <c:v>1490.8528216787743</c:v>
                </c:pt>
                <c:pt idx="661">
                  <c:v>1495.0537983230879</c:v>
                </c:pt>
                <c:pt idx="662">
                  <c:v>1499.2564307050384</c:v>
                </c:pt>
                <c:pt idx="663">
                  <c:v>1503.4606545438126</c:v>
                </c:pt>
                <c:pt idx="664">
                  <c:v>1507.6664057026198</c:v>
                </c:pt>
                <c:pt idx="665">
                  <c:v>1511.8736201891752</c:v>
                </c:pt>
                <c:pt idx="666">
                  <c:v>1516.0821992991389</c:v>
                </c:pt>
                <c:pt idx="667">
                  <c:v>1520.292000976702</c:v>
                </c:pt>
                <c:pt idx="668">
                  <c:v>1524.5028747730146</c:v>
                </c:pt>
                <c:pt idx="669">
                  <c:v>1528.7146705889572</c:v>
                </c:pt>
                <c:pt idx="670">
                  <c:v>1532.9272386785649</c:v>
                </c:pt>
                <c:pt idx="671">
                  <c:v>1537.1404296523685</c:v>
                </c:pt>
                <c:pt idx="672">
                  <c:v>1541.3540944806548</c:v>
                </c:pt>
                <c:pt idx="673">
                  <c:v>1545.5680844966464</c:v>
                </c:pt>
                <c:pt idx="674">
                  <c:v>1549.7822513996</c:v>
                </c:pt>
                <c:pt idx="675">
                  <c:v>1553.9964472578258</c:v>
                </c:pt>
                <c:pt idx="676">
                  <c:v>1558.2105245116265</c:v>
                </c:pt>
                <c:pt idx="677">
                  <c:v>1562.4243359761572</c:v>
                </c:pt>
                <c:pt idx="678">
                  <c:v>1566.6377348442065</c:v>
                </c:pt>
                <c:pt idx="679">
                  <c:v>1570.8505746889007</c:v>
                </c:pt>
                <c:pt idx="680">
                  <c:v>1575.0627094663278</c:v>
                </c:pt>
                <c:pt idx="681">
                  <c:v>1579.2739935180871</c:v>
                </c:pt>
                <c:pt idx="682">
                  <c:v>1583.4842815737602</c:v>
                </c:pt>
                <c:pt idx="683">
                  <c:v>1587.6934287533063</c:v>
                </c:pt>
                <c:pt idx="684">
                  <c:v>1591.9012905693828</c:v>
                </c:pt>
                <c:pt idx="685">
                  <c:v>1596.1077229295893</c:v>
                </c:pt>
                <c:pt idx="686">
                  <c:v>1600.3125821386388</c:v>
                </c:pt>
                <c:pt idx="687">
                  <c:v>1604.515724900454</c:v>
                </c:pt>
                <c:pt idx="688">
                  <c:v>1608.7170083201902</c:v>
                </c:pt>
                <c:pt idx="689">
                  <c:v>1612.9162899061864</c:v>
                </c:pt>
                <c:pt idx="690">
                  <c:v>1617.1134275718439</c:v>
                </c:pt>
                <c:pt idx="691">
                  <c:v>1621.3082796374324</c:v>
                </c:pt>
                <c:pt idx="692">
                  <c:v>1625.5007048318271</c:v>
                </c:pt>
                <c:pt idx="693">
                  <c:v>1629.6905622941738</c:v>
                </c:pt>
                <c:pt idx="694">
                  <c:v>1633.8777115754863</c:v>
                </c:pt>
                <c:pt idx="695">
                  <c:v>1638.0620126401725</c:v>
                </c:pt>
                <c:pt idx="696">
                  <c:v>1642.2433258674946</c:v>
                </c:pt>
                <c:pt idx="697">
                  <c:v>1646.4215120529598</c:v>
                </c:pt>
                <c:pt idx="698">
                  <c:v>1650.5964324096451</c:v>
                </c:pt>
                <c:pt idx="699">
                  <c:v>1654.7679485694553</c:v>
                </c:pt>
                <c:pt idx="700">
                  <c:v>1658.9359225843154</c:v>
                </c:pt>
                <c:pt idx="701">
                  <c:v>1663.1002169272988</c:v>
                </c:pt>
                <c:pt idx="702">
                  <c:v>1667.2606944936897</c:v>
                </c:pt>
                <c:pt idx="703">
                  <c:v>1671.4172186019837</c:v>
                </c:pt>
                <c:pt idx="704">
                  <c:v>1675.5696529948236</c:v>
                </c:pt>
                <c:pt idx="705">
                  <c:v>1679.7178618398755</c:v>
                </c:pt>
                <c:pt idx="706">
                  <c:v>1683.8617097306403</c:v>
                </c:pt>
                <c:pt idx="707">
                  <c:v>1688.0010616872073</c:v>
                </c:pt>
                <c:pt idx="708">
                  <c:v>1692.1357822127266</c:v>
                </c:pt>
                <c:pt idx="709">
                  <c:v>1696.2657267977622</c:v>
                </c:pt>
                <c:pt idx="710">
                  <c:v>1700.3907428978966</c:v>
                </c:pt>
                <c:pt idx="711">
                  <c:v>1704.5106784636366</c:v>
                </c:pt>
                <c:pt idx="712">
                  <c:v>1708.6253819414571</c:v>
                </c:pt>
                <c:pt idx="713">
                  <c:v>1712.7347022747686</c:v>
                </c:pt>
                <c:pt idx="714">
                  <c:v>1716.8384889048079</c:v>
                </c:pt>
                <c:pt idx="715">
                  <c:v>1720.9365917714547</c:v>
                </c:pt>
                <c:pt idx="716">
                  <c:v>1725.0288613139726</c:v>
                </c:pt>
                <c:pt idx="717">
                  <c:v>1729.1151484716786</c:v>
                </c:pt>
                <c:pt idx="718">
                  <c:v>1733.1953046845385</c:v>
                </c:pt>
                <c:pt idx="719">
                  <c:v>1737.2691818936921</c:v>
                </c:pt>
                <c:pt idx="720">
                  <c:v>1741.3366325419074</c:v>
                </c:pt>
                <c:pt idx="721">
                  <c:v>1745.3975095739654</c:v>
                </c:pt>
                <c:pt idx="722">
                  <c:v>1749.4516664369769</c:v>
                </c:pt>
                <c:pt idx="723">
                  <c:v>1753.4989570806304</c:v>
                </c:pt>
                <c:pt idx="724">
                  <c:v>1757.5392359573743</c:v>
                </c:pt>
                <c:pt idx="725">
                  <c:v>1761.5722381298976</c:v>
                </c:pt>
                <c:pt idx="726">
                  <c:v>1765.5975283828532</c:v>
                </c:pt>
                <c:pt idx="727">
                  <c:v>1769.6148788286596</c:v>
                </c:pt>
                <c:pt idx="728">
                  <c:v>1773.6243194517308</c:v>
                </c:pt>
                <c:pt idx="729">
                  <c:v>1777.6258800519868</c:v>
                </c:pt>
                <c:pt idx="730">
                  <c:v>1781.6195902463794</c:v>
                </c:pt>
                <c:pt idx="731">
                  <c:v>1785.6054794704039</c:v>
                </c:pt>
                <c:pt idx="732">
                  <c:v>1789.5835769795935</c:v>
                </c:pt>
                <c:pt idx="733">
                  <c:v>1793.5539118509996</c:v>
                </c:pt>
                <c:pt idx="734">
                  <c:v>1797.5165129846557</c:v>
                </c:pt>
                <c:pt idx="735">
                  <c:v>1801.4714091050266</c:v>
                </c:pt>
                <c:pt idx="736">
                  <c:v>1805.4186287624429</c:v>
                </c:pt>
                <c:pt idx="737">
                  <c:v>1809.3582003345207</c:v>
                </c:pt>
                <c:pt idx="738">
                  <c:v>1813.2901520275661</c:v>
                </c:pt>
                <c:pt idx="739">
                  <c:v>1817.2145118779667</c:v>
                </c:pt>
                <c:pt idx="740">
                  <c:v>1821.1313077535674</c:v>
                </c:pt>
                <c:pt idx="741">
                  <c:v>1825.0405673550333</c:v>
                </c:pt>
                <c:pt idx="742">
                  <c:v>1828.9423182171979</c:v>
                </c:pt>
                <c:pt idx="743">
                  <c:v>1832.8365877103984</c:v>
                </c:pt>
                <c:pt idx="744">
                  <c:v>1836.7234030417969</c:v>
                </c:pt>
                <c:pt idx="745">
                  <c:v>1840.6027912566888</c:v>
                </c:pt>
                <c:pt idx="746">
                  <c:v>1844.4747792397973</c:v>
                </c:pt>
                <c:pt idx="747">
                  <c:v>1848.3393937165556</c:v>
                </c:pt>
                <c:pt idx="748">
                  <c:v>1852.1966612543758</c:v>
                </c:pt>
                <c:pt idx="749">
                  <c:v>1856.0466082639052</c:v>
                </c:pt>
                <c:pt idx="750">
                  <c:v>1859.8892610002699</c:v>
                </c:pt>
                <c:pt idx="751">
                  <c:v>1863.7246455643065</c:v>
                </c:pt>
                <c:pt idx="752">
                  <c:v>1867.5527879037809</c:v>
                </c:pt>
                <c:pt idx="753">
                  <c:v>1871.3737138145955</c:v>
                </c:pt>
                <c:pt idx="754">
                  <c:v>1875.187448941984</c:v>
                </c:pt>
                <c:pt idx="755">
                  <c:v>1878.9940187816949</c:v>
                </c:pt>
                <c:pt idx="756">
                  <c:v>1882.7934486811625</c:v>
                </c:pt>
                <c:pt idx="757">
                  <c:v>1886.5857638406674</c:v>
                </c:pt>
                <c:pt idx="758">
                  <c:v>1890.3709893144846</c:v>
                </c:pt>
                <c:pt idx="759">
                  <c:v>1894.1491500120212</c:v>
                </c:pt>
                <c:pt idx="760">
                  <c:v>1897.9202706989424</c:v>
                </c:pt>
                <c:pt idx="761">
                  <c:v>1901.6843759982867</c:v>
                </c:pt>
                <c:pt idx="762">
                  <c:v>1905.4414903915695</c:v>
                </c:pt>
                <c:pt idx="763">
                  <c:v>1909.1916382198779</c:v>
                </c:pt>
                <c:pt idx="764">
                  <c:v>1912.9348436849527</c:v>
                </c:pt>
                <c:pt idx="765">
                  <c:v>1916.6711308502611</c:v>
                </c:pt>
                <c:pt idx="766">
                  <c:v>1920.4005236420583</c:v>
                </c:pt>
                <c:pt idx="767">
                  <c:v>1924.1230458504399</c:v>
                </c:pt>
                <c:pt idx="768">
                  <c:v>1927.8387211303832</c:v>
                </c:pt>
                <c:pt idx="769">
                  <c:v>1931.5475730027786</c:v>
                </c:pt>
                <c:pt idx="770">
                  <c:v>1935.2496248554519</c:v>
                </c:pt>
                <c:pt idx="771">
                  <c:v>1938.9448999441754</c:v>
                </c:pt>
                <c:pt idx="772">
                  <c:v>1942.6334213936709</c:v>
                </c:pt>
                <c:pt idx="773">
                  <c:v>1946.3152121986022</c:v>
                </c:pt>
                <c:pt idx="774">
                  <c:v>1949.9902952245577</c:v>
                </c:pt>
                <c:pt idx="775">
                  <c:v>1953.6586932090252</c:v>
                </c:pt>
                <c:pt idx="776">
                  <c:v>1957.320428762356</c:v>
                </c:pt>
                <c:pt idx="777">
                  <c:v>1960.9755243687202</c:v>
                </c:pt>
                <c:pt idx="778">
                  <c:v>1964.6240023870541</c:v>
                </c:pt>
                <c:pt idx="779">
                  <c:v>1968.2658850519965</c:v>
                </c:pt>
                <c:pt idx="780">
                  <c:v>1971.9011944748181</c:v>
                </c:pt>
                <c:pt idx="781">
                  <c:v>1975.5299526443418</c:v>
                </c:pt>
                <c:pt idx="782">
                  <c:v>1979.1521814278535</c:v>
                </c:pt>
                <c:pt idx="783">
                  <c:v>1982.7679025720051</c:v>
                </c:pt>
                <c:pt idx="784">
                  <c:v>1986.377137703709</c:v>
                </c:pt>
                <c:pt idx="785">
                  <c:v>1989.9799083310238</c:v>
                </c:pt>
                <c:pt idx="786">
                  <c:v>1993.5762358440329</c:v>
                </c:pt>
                <c:pt idx="787">
                  <c:v>1997.1661415157134</c:v>
                </c:pt>
                <c:pt idx="788">
                  <c:v>2000.749646502798</c:v>
                </c:pt>
                <c:pt idx="789">
                  <c:v>2004.3267718466284</c:v>
                </c:pt>
                <c:pt idx="790">
                  <c:v>2007.8975384740017</c:v>
                </c:pt>
                <c:pt idx="791">
                  <c:v>2011.4619671980076</c:v>
                </c:pt>
                <c:pt idx="792">
                  <c:v>2015.0200787188592</c:v>
                </c:pt>
                <c:pt idx="793">
                  <c:v>2018.5718936247149</c:v>
                </c:pt>
                <c:pt idx="794">
                  <c:v>2022.1174323924945</c:v>
                </c:pt>
                <c:pt idx="795">
                  <c:v>2025.6567153886858</c:v>
                </c:pt>
                <c:pt idx="796">
                  <c:v>2029.1897628701458</c:v>
                </c:pt>
                <c:pt idx="797">
                  <c:v>2032.7165949848929</c:v>
                </c:pt>
                <c:pt idx="798">
                  <c:v>2036.237231772893</c:v>
                </c:pt>
                <c:pt idx="799">
                  <c:v>2039.7516931668379</c:v>
                </c:pt>
                <c:pt idx="800">
                  <c:v>2043.2599989929172</c:v>
                </c:pt>
                <c:pt idx="801">
                  <c:v>2078.0060281708388</c:v>
                </c:pt>
                <c:pt idx="802">
                  <c:v>2112.1491323008649</c:v>
                </c:pt>
                <c:pt idx="803">
                  <c:v>2145.7081616910705</c:v>
                </c:pt>
                <c:pt idx="804">
                  <c:v>2178.7009966273408</c:v>
                </c:pt>
                <c:pt idx="805">
                  <c:v>2211.1446135806937</c:v>
                </c:pt>
                <c:pt idx="806">
                  <c:v>2243.0551458048767</c:v>
                </c:pt>
                <c:pt idx="807">
                  <c:v>2274.4479388887657</c:v>
                </c:pt>
                <c:pt idx="808">
                  <c:v>2305.3376017625756</c:v>
                </c:pt>
                <c:pt idx="809">
                  <c:v>2335.7380535999819</c:v>
                </c:pt>
                <c:pt idx="810">
                  <c:v>2365.6625670086482</c:v>
                </c:pt>
                <c:pt idx="811">
                  <c:v>2395.1238078583497</c:v>
                </c:pt>
                <c:pt idx="812">
                  <c:v>2424.1338720579597</c:v>
                </c:pt>
                <c:pt idx="813">
                  <c:v>2452.7043195593083</c:v>
                </c:pt>
                <c:pt idx="814">
                  <c:v>2480.8462058366677</c:v>
                </c:pt>
                <c:pt idx="815">
                  <c:v>2508.5701110648524</c:v>
                </c:pt>
                <c:pt idx="816">
                  <c:v>2535.8861671961658</c:v>
                </c:pt>
                <c:pt idx="817">
                  <c:v>2562.8040831162975</c:v>
                </c:pt>
                <c:pt idx="818">
                  <c:v>2589.3331680414367</c:v>
                </c:pt>
                <c:pt idx="819">
                  <c:v>2615.4823533030199</c:v>
                </c:pt>
                <c:pt idx="820">
                  <c:v>2641.2602126524462</c:v>
                </c:pt>
                <c:pt idx="821">
                  <c:v>2666.6749812055318</c:v>
                </c:pt>
                <c:pt idx="822">
                  <c:v>2691.7345731352621</c:v>
                </c:pt>
                <c:pt idx="823">
                  <c:v>2716.446598211387</c:v>
                </c:pt>
                <c:pt idx="824">
                  <c:v>2740.8183772764237</c:v>
                </c:pt>
                <c:pt idx="825">
                  <c:v>2764.856956739583</c:v>
                </c:pt>
                <c:pt idx="826">
                  <c:v>2788.5691221629049</c:v>
                </c:pt>
                <c:pt idx="827">
                  <c:v>2811.9614110073899</c:v>
                </c:pt>
                <c:pt idx="828">
                  <c:v>2835.040124601046</c:v>
                </c:pt>
                <c:pt idx="829">
                  <c:v>2857.8113393854924</c:v>
                </c:pt>
                <c:pt idx="830">
                  <c:v>2880.280917492983</c:v>
                </c:pt>
                <c:pt idx="831">
                  <c:v>2902.4545167013976</c:v>
                </c:pt>
                <c:pt idx="832">
                  <c:v>2924.3375998108363</c:v>
                </c:pt>
                <c:pt idx="833">
                  <c:v>2945.9354434819061</c:v>
                </c:pt>
                <c:pt idx="834">
                  <c:v>2967.2531465725715</c:v>
                </c:pt>
                <c:pt idx="835">
                  <c:v>2988.2956380075125</c:v>
                </c:pt>
                <c:pt idx="836">
                  <c:v>3009.0676842112707</c:v>
                </c:pt>
                <c:pt idx="837">
                  <c:v>3029.5738961340426</c:v>
                </c:pt>
                <c:pt idx="838">
                  <c:v>3049.8187358967552</c:v>
                </c:pt>
                <c:pt idx="839">
                  <c:v>3069.8065230800562</c:v>
                </c:pt>
                <c:pt idx="840">
                  <c:v>3089.5414406799864</c:v>
                </c:pt>
                <c:pt idx="841">
                  <c:v>3109.0275407514282</c:v>
                </c:pt>
                <c:pt idx="842">
                  <c:v>3128.2687497588645</c:v>
                </c:pt>
                <c:pt idx="843">
                  <c:v>3147.2688736525733</c:v>
                </c:pt>
                <c:pt idx="844">
                  <c:v>3166.0316026870764</c:v>
                </c:pt>
                <c:pt idx="845">
                  <c:v>3184.5605159974684</c:v>
                </c:pt>
                <c:pt idx="846">
                  <c:v>3202.8590859481506</c:v>
                </c:pt>
                <c:pt idx="847">
                  <c:v>3220.9306822674848</c:v>
                </c:pt>
                <c:pt idx="848">
                  <c:v>3238.7785759809522</c:v>
                </c:pt>
                <c:pt idx="849">
                  <c:v>3256.4059431545388</c:v>
                </c:pt>
                <c:pt idx="850">
                  <c:v>3273.8158684592868</c:v>
                </c:pt>
                <c:pt idx="851">
                  <c:v>3291.0113485672064</c:v>
                </c:pt>
                <c:pt idx="852">
                  <c:v>3307.9952953880829</c:v>
                </c:pt>
                <c:pt idx="853">
                  <c:v>3324.7705391560735</c:v>
                </c:pt>
                <c:pt idx="854">
                  <c:v>3341.3398313744233</c:v>
                </c:pt>
                <c:pt idx="855">
                  <c:v>3357.7058476260854</c:v>
                </c:pt>
                <c:pt idx="856">
                  <c:v>3373.8711902575387</c:v>
                </c:pt>
                <c:pt idx="857">
                  <c:v>3389.8383909426329</c:v>
                </c:pt>
                <c:pt idx="858">
                  <c:v>3405.6099131328679</c:v>
                </c:pt>
                <c:pt idx="859">
                  <c:v>3421.1881544001117</c:v>
                </c:pt>
                <c:pt idx="860">
                  <c:v>3436.5754486773963</c:v>
                </c:pt>
                <c:pt idx="861">
                  <c:v>3451.7740684030882</c:v>
                </c:pt>
                <c:pt idx="862">
                  <c:v>3466.7862265734057</c:v>
                </c:pt>
                <c:pt idx="863">
                  <c:v>3481.6140787079644</c:v>
                </c:pt>
                <c:pt idx="864">
                  <c:v>3496.259724732749</c:v>
                </c:pt>
                <c:pt idx="865">
                  <c:v>3510.7252107846566</c:v>
                </c:pt>
                <c:pt idx="866">
                  <c:v>3525.0125309415107</c:v>
                </c:pt>
                <c:pt idx="867">
                  <c:v>3539.1236288812202</c:v>
                </c:pt>
                <c:pt idx="868">
                  <c:v>3553.0603994735529</c:v>
                </c:pt>
                <c:pt idx="869">
                  <c:v>3566.8246903077898</c:v>
                </c:pt>
                <c:pt idx="870">
                  <c:v>3580.4183031593416</c:v>
                </c:pt>
                <c:pt idx="871">
                  <c:v>3593.8429953982477</c:v>
                </c:pt>
                <c:pt idx="872">
                  <c:v>3607.1004813423015</c:v>
                </c:pt>
                <c:pt idx="873">
                  <c:v>3620.1924335574058</c:v>
                </c:pt>
                <c:pt idx="874">
                  <c:v>3633.1204841076169</c:v>
                </c:pt>
                <c:pt idx="875">
                  <c:v>3645.8862257572027</c:v>
                </c:pt>
                <c:pt idx="876">
                  <c:v>3658.4912131269157</c:v>
                </c:pt>
                <c:pt idx="877">
                  <c:v>3670.9369638065659</c:v>
                </c:pt>
                <c:pt idx="878">
                  <c:v>3683.2249594258692</c:v>
                </c:pt>
                <c:pt idx="879">
                  <c:v>3695.3566466854413</c:v>
                </c:pt>
                <c:pt idx="880">
                  <c:v>3707.3334383497104</c:v>
                </c:pt>
                <c:pt idx="881">
                  <c:v>3719.1567142034351</c:v>
                </c:pt>
                <c:pt idx="882">
                  <c:v>3730.827821973422</c:v>
                </c:pt>
                <c:pt idx="883">
                  <c:v>3742.3480782169599</c:v>
                </c:pt>
                <c:pt idx="884">
                  <c:v>3753.7187691784125</c:v>
                </c:pt>
                <c:pt idx="885">
                  <c:v>3764.9411516153359</c:v>
                </c:pt>
                <c:pt idx="886">
                  <c:v>3776.0164535954241</c:v>
                </c:pt>
                <c:pt idx="887">
                  <c:v>3786.9458752655169</c:v>
                </c:pt>
                <c:pt idx="888">
                  <c:v>3797.7305895938521</c:v>
                </c:pt>
                <c:pt idx="889">
                  <c:v>3808.3717430866759</c:v>
                </c:pt>
                <c:pt idx="890">
                  <c:v>3818.8704564802852</c:v>
                </c:pt>
                <c:pt idx="891">
                  <c:v>3829.2278254095122</c:v>
                </c:pt>
                <c:pt idx="892">
                  <c:v>3839.444921053625</c:v>
                </c:pt>
                <c:pt idx="893">
                  <c:v>3849.522790760564</c:v>
                </c:pt>
                <c:pt idx="894">
                  <c:v>3859.4624586503951</c:v>
                </c:pt>
                <c:pt idx="895">
                  <c:v>3869.264926198824</c:v>
                </c:pt>
                <c:pt idx="896">
                  <c:v>3878.9311728015687</c:v>
                </c:pt>
                <c:pt idx="897">
                  <c:v>3888.4621563203596</c:v>
                </c:pt>
                <c:pt idx="898">
                  <c:v>3897.8588136112994</c:v>
                </c:pt>
                <c:pt idx="899">
                  <c:v>3907.1220610362816</c:v>
                </c:pt>
                <c:pt idx="900">
                  <c:v>3916.2527949581363</c:v>
                </c:pt>
                <c:pt idx="901">
                  <c:v>3925.2518922201466</c:v>
                </c:pt>
                <c:pt idx="902">
                  <c:v>3934.1202106105443</c:v>
                </c:pt>
                <c:pt idx="903">
                  <c:v>3942.8585893125755</c:v>
                </c:pt>
                <c:pt idx="904">
                  <c:v>3951.4678493406968</c:v>
                </c:pt>
                <c:pt idx="905">
                  <c:v>3959.9487939634414</c:v>
                </c:pt>
                <c:pt idx="906">
                  <c:v>3968.3022091134726</c:v>
                </c:pt>
                <c:pt idx="907">
                  <c:v>3976.5288637853196</c:v>
                </c:pt>
                <c:pt idx="908">
                  <c:v>3984.6295104212741</c:v>
                </c:pt>
                <c:pt idx="909">
                  <c:v>3992.6048852859035</c:v>
                </c:pt>
                <c:pt idx="910">
                  <c:v>4000.4557088296215</c:v>
                </c:pt>
                <c:pt idx="911">
                  <c:v>4008.1826860417373</c:v>
                </c:pt>
                <c:pt idx="912">
                  <c:v>4015.7865067933944</c:v>
                </c:pt>
                <c:pt idx="913">
                  <c:v>4023.2678461707878</c:v>
                </c:pt>
                <c:pt idx="914">
                  <c:v>4030.6273647990361</c:v>
                </c:pt>
                <c:pt idx="915">
                  <c:v>4037.8657091570776</c:v>
                </c:pt>
                <c:pt idx="916">
                  <c:v>4044.9835118839364</c:v>
                </c:pt>
                <c:pt idx="917">
                  <c:v>4051.9813920767024</c:v>
                </c:pt>
                <c:pt idx="918">
                  <c:v>4058.8599555805486</c:v>
                </c:pt>
                <c:pt idx="919">
                  <c:v>4065.6197952711068</c:v>
                </c:pt>
                <c:pt idx="920">
                  <c:v>4072.2614913295051</c:v>
                </c:pt>
                <c:pt idx="921">
                  <c:v>4078.7856115103673</c:v>
                </c:pt>
                <c:pt idx="922">
                  <c:v>4085.1927114030586</c:v>
                </c:pt>
                <c:pt idx="923">
                  <c:v>4091.4833346864611</c:v>
                </c:pt>
                <c:pt idx="924">
                  <c:v>4097.6580133775451</c:v>
                </c:pt>
                <c:pt idx="925">
                  <c:v>4103.7172680740068</c:v>
                </c:pt>
                <c:pt idx="926">
                  <c:v>4109.6616081912189</c:v>
                </c:pt>
                <c:pt idx="927">
                  <c:v>4115.491532193756</c:v>
                </c:pt>
                <c:pt idx="928">
                  <c:v>4121.2075278217244</c:v>
                </c:pt>
                <c:pt idx="929">
                  <c:v>4126.8100723121424</c:v>
                </c:pt>
                <c:pt idx="930">
                  <c:v>4132.2996326156008</c:v>
                </c:pt>
                <c:pt idx="931">
                  <c:v>4137.6766656084264</c:v>
                </c:pt>
                <c:pt idx="932">
                  <c:v>4142.9416183005715</c:v>
                </c:pt>
                <c:pt idx="933">
                  <c:v>4148.0949280394434</c:v>
                </c:pt>
                <c:pt idx="934">
                  <c:v>4153.1370227098887</c:v>
                </c:pt>
                <c:pt idx="935">
                  <c:v>4158.0683209305334</c:v>
                </c:pt>
                <c:pt idx="936">
                  <c:v>4162.8892322466909</c:v>
                </c:pt>
                <c:pt idx="937">
                  <c:v>4167.6001573200238</c:v>
                </c:pt>
                <c:pt idx="938">
                  <c:v>4172.2014881151681</c:v>
                </c:pt>
                <c:pt idx="939">
                  <c:v>4176.6936080835012</c:v>
                </c:pt>
                <c:pt idx="940">
                  <c:v>4181.0768923442456</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506.35804577466371</c:v>
                </c:pt>
              </c:numCache>
            </c:numRef>
          </c:xVal>
          <c:yVal>
            <c:numRef>
              <c:f>Trajecto!$C$158</c:f>
              <c:numCache>
                <c:formatCode>0</c:formatCode>
                <c:ptCount val="1"/>
                <c:pt idx="0">
                  <c:v>2090.5384461721228</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#N/A</c:v>
                </c:pt>
              </c:numCache>
            </c:numRef>
          </c:xVal>
          <c:yVal>
            <c:numRef>
              <c:f>Trajecto!$C$159</c:f>
              <c:numCache>
                <c:formatCode>0</c:formatCode>
                <c:ptCount val="1"/>
                <c:pt idx="0">
                  <c:v>2135.4272754038516</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{71943084-0FF0-48B5-811B-895440BB45F8}</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2276.6197711600475</c:v>
                </c:pt>
                <c:pt idx="1">
                  <c:v>2299.6197711600475</c:v>
                </c:pt>
                <c:pt idx="2">
                  <c:v>2299.6197711600475</c:v>
                </c:pt>
                <c:pt idx="3">
                  <c:v>2276.6197711600475</c:v>
                </c:pt>
                <c:pt idx="4">
                  <c:v>2299.6197711600475</c:v>
                </c:pt>
                <c:pt idx="5">
                  <c:v>2299.6197711600475</c:v>
                </c:pt>
                <c:pt idx="6">
                  <c:v>2284.6197711600475</c:v>
                </c:pt>
                <c:pt idx="7">
                  <c:v>2284.6197711600475</c:v>
                </c:pt>
                <c:pt idx="8">
                  <c:v>2299.6197711600475</c:v>
                </c:pt>
                <c:pt idx="9">
                  <c:v>2284.6197711600475</c:v>
                </c:pt>
                <c:pt idx="10">
                  <c:v>2284.2197711600475</c:v>
                </c:pt>
                <c:pt idx="11">
                  <c:v>2283.4197711600477</c:v>
                </c:pt>
                <c:pt idx="12">
                  <c:v>2282.6197711600475</c:v>
                </c:pt>
                <c:pt idx="13">
                  <c:v>2281.6197711600475</c:v>
                </c:pt>
                <c:pt idx="14">
                  <c:v>2280.4197711600477</c:v>
                </c:pt>
                <c:pt idx="15">
                  <c:v>2276.6197711600475</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2276.6197711600475</c:v>
                </c:pt>
                <c:pt idx="1">
                  <c:v>2253.6197711600475</c:v>
                </c:pt>
                <c:pt idx="2">
                  <c:v>2253.6197711600475</c:v>
                </c:pt>
                <c:pt idx="3">
                  <c:v>2276.6197711600475</c:v>
                </c:pt>
                <c:pt idx="4">
                  <c:v>2253.6197711600475</c:v>
                </c:pt>
                <c:pt idx="5">
                  <c:v>2253.6197711600475</c:v>
                </c:pt>
                <c:pt idx="6">
                  <c:v>2268.6197711600475</c:v>
                </c:pt>
                <c:pt idx="7">
                  <c:v>2268.6197711600475</c:v>
                </c:pt>
                <c:pt idx="8">
                  <c:v>2253.6197711600475</c:v>
                </c:pt>
                <c:pt idx="9">
                  <c:v>2268.6197711600475</c:v>
                </c:pt>
                <c:pt idx="10">
                  <c:v>2269.0197711600476</c:v>
                </c:pt>
                <c:pt idx="11">
                  <c:v>2269.8197711600474</c:v>
                </c:pt>
                <c:pt idx="12">
                  <c:v>2270.6197711600475</c:v>
                </c:pt>
                <c:pt idx="13">
                  <c:v>2271.6197711600475</c:v>
                </c:pt>
                <c:pt idx="14">
                  <c:v>2272.8197711600474</c:v>
                </c:pt>
                <c:pt idx="15">
                  <c:v>2276.6197711600475</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{B9A5882A-6A83-4D2B-BF62-B09EAEC728F8}</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2276.6197711600475</c:v>
                </c:pt>
                <c:pt idx="1">
                  <c:v>2276.6197711600475</c:v>
                </c:pt>
                <c:pt idx="2">
                  <c:v>2286.6197711600475</c:v>
                </c:pt>
                <c:pt idx="3">
                  <c:v>2276.6197711600475</c:v>
                </c:pt>
                <c:pt idx="4">
                  <c:v>2286.6197711600475</c:v>
                </c:pt>
                <c:pt idx="5">
                  <c:v>2289.6197711600475</c:v>
                </c:pt>
                <c:pt idx="6">
                  <c:v>2293.6197711600475</c:v>
                </c:pt>
                <c:pt idx="7">
                  <c:v>2296.6197711600475</c:v>
                </c:pt>
                <c:pt idx="8">
                  <c:v>2301.6197711600475</c:v>
                </c:pt>
                <c:pt idx="9">
                  <c:v>2306.6197711600475</c:v>
                </c:pt>
                <c:pt idx="10">
                  <c:v>2312.6197711600475</c:v>
                </c:pt>
                <c:pt idx="11">
                  <c:v>2324.6197711600475</c:v>
                </c:pt>
                <c:pt idx="12">
                  <c:v>2338.6197711600475</c:v>
                </c:pt>
                <c:pt idx="13">
                  <c:v>2313.6197711600475</c:v>
                </c:pt>
                <c:pt idx="14">
                  <c:v>2306.6197711600475</c:v>
                </c:pt>
                <c:pt idx="15">
                  <c:v>2291.6197711600475</c:v>
                </c:pt>
                <c:pt idx="16">
                  <c:v>2276.6197711600475</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2276.6197711600475</c:v>
                </c:pt>
                <c:pt idx="1">
                  <c:v>2276.6197711600475</c:v>
                </c:pt>
                <c:pt idx="2">
                  <c:v>2266.6197711600475</c:v>
                </c:pt>
                <c:pt idx="3">
                  <c:v>2276.6197711600475</c:v>
                </c:pt>
                <c:pt idx="4">
                  <c:v>2266.6197711600475</c:v>
                </c:pt>
                <c:pt idx="5">
                  <c:v>2263.6197711600475</c:v>
                </c:pt>
                <c:pt idx="6">
                  <c:v>2259.6197711600475</c:v>
                </c:pt>
                <c:pt idx="7">
                  <c:v>2256.6197711600475</c:v>
                </c:pt>
                <c:pt idx="8">
                  <c:v>2251.6197711600475</c:v>
                </c:pt>
                <c:pt idx="9">
                  <c:v>2246.6197711600475</c:v>
                </c:pt>
                <c:pt idx="10">
                  <c:v>2240.6197711600475</c:v>
                </c:pt>
                <c:pt idx="11">
                  <c:v>2228.6197711600475</c:v>
                </c:pt>
                <c:pt idx="12">
                  <c:v>2214.6197711600475</c:v>
                </c:pt>
                <c:pt idx="13">
                  <c:v>2239.6197711600475</c:v>
                </c:pt>
                <c:pt idx="14">
                  <c:v>2246.6197711600475</c:v>
                </c:pt>
                <c:pt idx="15">
                  <c:v>2261.6197711600475</c:v>
                </c:pt>
                <c:pt idx="16">
                  <c:v>2276.6197711600475</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2276.6197711600475</c:v>
                </c:pt>
                <c:pt idx="1">
                  <c:v>2293.6197711600475</c:v>
                </c:pt>
                <c:pt idx="2">
                  <c:v>2287.6197711600475</c:v>
                </c:pt>
                <c:pt idx="3">
                  <c:v>2276.6197711600475</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2276.6197711600475</c:v>
                </c:pt>
                <c:pt idx="1">
                  <c:v>2259.6197711600475</c:v>
                </c:pt>
                <c:pt idx="2">
                  <c:v>2265.6197711600475</c:v>
                </c:pt>
                <c:pt idx="3">
                  <c:v>2276.6197711600475</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{AE974B19-5326-4391-A163-506A15F9ED99}</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2025.4321830986548</c:v>
                </c:pt>
                <c:pt idx="1">
                  <c:v>2025.4321830986548</c:v>
                </c:pt>
                <c:pt idx="2">
                  <c:v>2025.4321830986548</c:v>
                </c:pt>
                <c:pt idx="3">
                  <c:v>2129.9591054072612</c:v>
                </c:pt>
                <c:pt idx="4">
                  <c:v>2025.4321830986548</c:v>
                </c:pt>
                <c:pt idx="5">
                  <c:v>1920.9052607900487</c:v>
                </c:pt>
                <c:pt idx="6">
                  <c:v>2025.4321830986548</c:v>
                </c:pt>
              </c:numCache>
            </c:numRef>
          </c:xVal>
          <c:yVal>
            <c:numRef>
              <c:f>Trajecto!$C$124:$C$130</c:f>
              <c:numCache>
                <c:formatCode>0</c:formatCode>
                <c:ptCount val="7"/>
                <c:pt idx="0">
                  <c:v>4181.0768923442456</c:v>
                </c:pt>
                <c:pt idx="1">
                  <c:v>2090.5384461721228</c:v>
                </c:pt>
                <c:pt idx="2">
                  <c:v>0</c:v>
                </c:pt>
                <c:pt idx="3">
                  <c:v>209.05384461721229</c:v>
                </c:pt>
                <c:pt idx="4">
                  <c:v>0</c:v>
                </c:pt>
                <c:pt idx="5">
                  <c:v>209.05384461721229</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#N/A</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1.0000000000000007</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2.0000000000000013</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2.99999999999998</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3.9999999999999587</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4.9999999999999378</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5.9999999999999165</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6.9999999999998952</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7.9999999999998739</c:v>
                </c:pt>
                <c:pt idx="801">
                  <c:v>#N/A</c:v>
                </c:pt>
                <c:pt idx="802">
                  <c:v>#N/A</c:v>
                </c:pt>
                <c:pt idx="803">
                  <c:v>#N/A</c:v>
                </c:pt>
                <c:pt idx="804">
                  <c:v>#N/A</c:v>
                </c:pt>
                <c:pt idx="805">
                  <c:v>#N/A</c:v>
                </c:pt>
                <c:pt idx="806">
                  <c:v>#N/A</c:v>
                </c:pt>
                <c:pt idx="807">
                  <c:v>#N/A</c:v>
                </c:pt>
                <c:pt idx="808">
                  <c:v>#N/A</c:v>
                </c:pt>
                <c:pt idx="809">
                  <c:v>#N/A</c:v>
                </c:pt>
                <c:pt idx="810">
                  <c:v>8.9999999999998703</c:v>
                </c:pt>
                <c:pt idx="811">
                  <c:v>#N/A</c:v>
                </c:pt>
                <c:pt idx="812">
                  <c:v>#N/A</c:v>
                </c:pt>
                <c:pt idx="813">
                  <c:v>#N/A</c:v>
                </c:pt>
                <c:pt idx="814">
                  <c:v>#N/A</c:v>
                </c:pt>
                <c:pt idx="815">
                  <c:v>#N/A</c:v>
                </c:pt>
                <c:pt idx="816">
                  <c:v>#N/A</c:v>
                </c:pt>
                <c:pt idx="817">
                  <c:v>#N/A</c:v>
                </c:pt>
                <c:pt idx="818">
                  <c:v>#N/A</c:v>
                </c:pt>
                <c:pt idx="819">
                  <c:v>#N/A</c:v>
                </c:pt>
                <c:pt idx="820">
                  <c:v>9.9999999999998668</c:v>
                </c:pt>
                <c:pt idx="821">
                  <c:v>#N/A</c:v>
                </c:pt>
                <c:pt idx="822">
                  <c:v>#N/A</c:v>
                </c:pt>
                <c:pt idx="823">
                  <c:v>#N/A</c:v>
                </c:pt>
                <c:pt idx="824">
                  <c:v>#N/A</c:v>
                </c:pt>
                <c:pt idx="825">
                  <c:v>#N/A</c:v>
                </c:pt>
                <c:pt idx="826">
                  <c:v>#N/A</c:v>
                </c:pt>
                <c:pt idx="827">
                  <c:v>#N/A</c:v>
                </c:pt>
                <c:pt idx="828">
                  <c:v>#N/A</c:v>
                </c:pt>
                <c:pt idx="829">
                  <c:v>#N/A</c:v>
                </c:pt>
                <c:pt idx="830">
                  <c:v>10.999999999999863</c:v>
                </c:pt>
                <c:pt idx="831">
                  <c:v>#N/A</c:v>
                </c:pt>
                <c:pt idx="832">
                  <c:v>#N/A</c:v>
                </c:pt>
                <c:pt idx="833">
                  <c:v>#N/A</c:v>
                </c:pt>
                <c:pt idx="834">
                  <c:v>#N/A</c:v>
                </c:pt>
                <c:pt idx="835">
                  <c:v>#N/A</c:v>
                </c:pt>
                <c:pt idx="836">
                  <c:v>#N/A</c:v>
                </c:pt>
                <c:pt idx="837">
                  <c:v>#N/A</c:v>
                </c:pt>
                <c:pt idx="838">
                  <c:v>#N/A</c:v>
                </c:pt>
                <c:pt idx="839">
                  <c:v>#N/A</c:v>
                </c:pt>
                <c:pt idx="840">
                  <c:v>11.99999999999986</c:v>
                </c:pt>
                <c:pt idx="841">
                  <c:v>#N/A</c:v>
                </c:pt>
                <c:pt idx="842">
                  <c:v>#N/A</c:v>
                </c:pt>
                <c:pt idx="843">
                  <c:v>#N/A</c:v>
                </c:pt>
                <c:pt idx="844">
                  <c:v>#N/A</c:v>
                </c:pt>
                <c:pt idx="845">
                  <c:v>#N/A</c:v>
                </c:pt>
                <c:pt idx="846">
                  <c:v>#N/A</c:v>
                </c:pt>
                <c:pt idx="847">
                  <c:v>#N/A</c:v>
                </c:pt>
                <c:pt idx="848">
                  <c:v>#N/A</c:v>
                </c:pt>
                <c:pt idx="849">
                  <c:v>#N/A</c:v>
                </c:pt>
                <c:pt idx="850">
                  <c:v>12.999999999999856</c:v>
                </c:pt>
                <c:pt idx="851">
                  <c:v>#N/A</c:v>
                </c:pt>
                <c:pt idx="852">
                  <c:v>#N/A</c:v>
                </c:pt>
                <c:pt idx="853">
                  <c:v>#N/A</c:v>
                </c:pt>
                <c:pt idx="854">
                  <c:v>#N/A</c:v>
                </c:pt>
                <c:pt idx="855">
                  <c:v>#N/A</c:v>
                </c:pt>
                <c:pt idx="856">
                  <c:v>#N/A</c:v>
                </c:pt>
                <c:pt idx="857">
                  <c:v>#N/A</c:v>
                </c:pt>
                <c:pt idx="858">
                  <c:v>#N/A</c:v>
                </c:pt>
                <c:pt idx="859">
                  <c:v>#N/A</c:v>
                </c:pt>
                <c:pt idx="860">
                  <c:v>13.999999999999853</c:v>
                </c:pt>
                <c:pt idx="861">
                  <c:v>#N/A</c:v>
                </c:pt>
                <c:pt idx="862">
                  <c:v>#N/A</c:v>
                </c:pt>
                <c:pt idx="863">
                  <c:v>#N/A</c:v>
                </c:pt>
                <c:pt idx="864">
                  <c:v>#N/A</c:v>
                </c:pt>
                <c:pt idx="865">
                  <c:v>#N/A</c:v>
                </c:pt>
                <c:pt idx="866">
                  <c:v>#N/A</c:v>
                </c:pt>
                <c:pt idx="867">
                  <c:v>#N/A</c:v>
                </c:pt>
                <c:pt idx="868">
                  <c:v>#N/A</c:v>
                </c:pt>
                <c:pt idx="869">
                  <c:v>#N/A</c:v>
                </c:pt>
                <c:pt idx="870">
                  <c:v>14.999999999999849</c:v>
                </c:pt>
                <c:pt idx="871">
                  <c:v>#N/A</c:v>
                </c:pt>
                <c:pt idx="872">
                  <c:v>#N/A</c:v>
                </c:pt>
                <c:pt idx="873">
                  <c:v>#N/A</c:v>
                </c:pt>
                <c:pt idx="874">
                  <c:v>#N/A</c:v>
                </c:pt>
                <c:pt idx="875">
                  <c:v>#N/A</c:v>
                </c:pt>
                <c:pt idx="876">
                  <c:v>#N/A</c:v>
                </c:pt>
                <c:pt idx="877">
                  <c:v>#N/A</c:v>
                </c:pt>
                <c:pt idx="878">
                  <c:v>#N/A</c:v>
                </c:pt>
                <c:pt idx="879">
                  <c:v>#N/A</c:v>
                </c:pt>
                <c:pt idx="880">
                  <c:v>15.999999999999845</c:v>
                </c:pt>
                <c:pt idx="881">
                  <c:v>#N/A</c:v>
                </c:pt>
                <c:pt idx="882">
                  <c:v>#N/A</c:v>
                </c:pt>
                <c:pt idx="883">
                  <c:v>#N/A</c:v>
                </c:pt>
                <c:pt idx="884">
                  <c:v>#N/A</c:v>
                </c:pt>
                <c:pt idx="885">
                  <c:v>#N/A</c:v>
                </c:pt>
                <c:pt idx="886">
                  <c:v>#N/A</c:v>
                </c:pt>
                <c:pt idx="887">
                  <c:v>#N/A</c:v>
                </c:pt>
                <c:pt idx="888">
                  <c:v>#N/A</c:v>
                </c:pt>
                <c:pt idx="889">
                  <c:v>#N/A</c:v>
                </c:pt>
                <c:pt idx="890">
                  <c:v>16.999999999999858</c:v>
                </c:pt>
                <c:pt idx="891">
                  <c:v>#N/A</c:v>
                </c:pt>
                <c:pt idx="892">
                  <c:v>#N/A</c:v>
                </c:pt>
                <c:pt idx="893">
                  <c:v>#N/A</c:v>
                </c:pt>
                <c:pt idx="894">
                  <c:v>#N/A</c:v>
                </c:pt>
                <c:pt idx="895">
                  <c:v>#N/A</c:v>
                </c:pt>
                <c:pt idx="896">
                  <c:v>#N/A</c:v>
                </c:pt>
                <c:pt idx="897">
                  <c:v>#N/A</c:v>
                </c:pt>
                <c:pt idx="898">
                  <c:v>#N/A</c:v>
                </c:pt>
                <c:pt idx="899">
                  <c:v>#N/A</c:v>
                </c:pt>
                <c:pt idx="900">
                  <c:v>17.999999999999872</c:v>
                </c:pt>
                <c:pt idx="901">
                  <c:v>#N/A</c:v>
                </c:pt>
                <c:pt idx="902">
                  <c:v>#N/A</c:v>
                </c:pt>
                <c:pt idx="903">
                  <c:v>#N/A</c:v>
                </c:pt>
                <c:pt idx="904">
                  <c:v>#N/A</c:v>
                </c:pt>
                <c:pt idx="905">
                  <c:v>#N/A</c:v>
                </c:pt>
                <c:pt idx="906">
                  <c:v>#N/A</c:v>
                </c:pt>
                <c:pt idx="907">
                  <c:v>#N/A</c:v>
                </c:pt>
                <c:pt idx="908">
                  <c:v>#N/A</c:v>
                </c:pt>
                <c:pt idx="909">
                  <c:v>#N/A</c:v>
                </c:pt>
                <c:pt idx="910">
                  <c:v>18.999999999999886</c:v>
                </c:pt>
                <c:pt idx="911">
                  <c:v>#N/A</c:v>
                </c:pt>
                <c:pt idx="912">
                  <c:v>#N/A</c:v>
                </c:pt>
                <c:pt idx="913">
                  <c:v>#N/A</c:v>
                </c:pt>
                <c:pt idx="914">
                  <c:v>#N/A</c:v>
                </c:pt>
                <c:pt idx="915">
                  <c:v>#N/A</c:v>
                </c:pt>
                <c:pt idx="916">
                  <c:v>#N/A</c:v>
                </c:pt>
                <c:pt idx="917">
                  <c:v>#N/A</c:v>
                </c:pt>
                <c:pt idx="918">
                  <c:v>#N/A</c:v>
                </c:pt>
                <c:pt idx="919">
                  <c:v>#N/A</c:v>
                </c:pt>
                <c:pt idx="920">
                  <c:v>19.999999999999901</c:v>
                </c:pt>
                <c:pt idx="921">
                  <c:v>#N/A</c:v>
                </c:pt>
                <c:pt idx="922">
                  <c:v>#N/A</c:v>
                </c:pt>
                <c:pt idx="923">
                  <c:v>#N/A</c:v>
                </c:pt>
                <c:pt idx="924">
                  <c:v>#N/A</c:v>
                </c:pt>
                <c:pt idx="925">
                  <c:v>#N/A</c:v>
                </c:pt>
                <c:pt idx="926">
                  <c:v>#N/A</c:v>
                </c:pt>
                <c:pt idx="927">
                  <c:v>#N/A</c:v>
                </c:pt>
                <c:pt idx="928">
                  <c:v>#N/A</c:v>
                </c:pt>
                <c:pt idx="929">
                  <c:v>#N/A</c:v>
                </c:pt>
                <c:pt idx="930">
                  <c:v>20.999999999999915</c:v>
                </c:pt>
                <c:pt idx="931">
                  <c:v>#N/A</c:v>
                </c:pt>
                <c:pt idx="932">
                  <c:v>#N/A</c:v>
                </c:pt>
                <c:pt idx="933">
                  <c:v>#N/A</c:v>
                </c:pt>
                <c:pt idx="934">
                  <c:v>#N/A</c:v>
                </c:pt>
                <c:pt idx="935">
                  <c:v>#N/A</c:v>
                </c:pt>
                <c:pt idx="936">
                  <c:v>#N/A</c:v>
                </c:pt>
                <c:pt idx="937">
                  <c:v>#N/A</c:v>
                </c:pt>
                <c:pt idx="938">
                  <c:v>#N/A</c:v>
                </c:pt>
                <c:pt idx="939">
                  <c:v>#N/A</c:v>
                </c:pt>
                <c:pt idx="940">
                  <c:v>21.999999999999929</c:v>
                </c:pt>
                <c:pt idx="941">
                  <c:v>#N/A</c:v>
                </c:pt>
                <c:pt idx="942">
                  <c:v>#N/A</c:v>
                </c:pt>
                <c:pt idx="943">
                  <c:v>#N/A</c:v>
                </c:pt>
                <c:pt idx="944">
                  <c:v>#N/A</c:v>
                </c:pt>
                <c:pt idx="945">
                  <c:v>#N/A</c:v>
                </c:pt>
                <c:pt idx="946">
                  <c:v>#N/A</c:v>
                </c:pt>
                <c:pt idx="947">
                  <c:v>#N/A</c:v>
                </c:pt>
                <c:pt idx="948">
                  <c:v>#N/A</c:v>
                </c:pt>
                <c:pt idx="949">
                  <c:v>#N/A</c:v>
                </c:pt>
                <c:pt idx="950">
                  <c:v>22.999999999999943</c:v>
                </c:pt>
                <c:pt idx="951">
                  <c:v>#N/A</c:v>
                </c:pt>
                <c:pt idx="952">
                  <c:v>#N/A</c:v>
                </c:pt>
                <c:pt idx="953">
                  <c:v>#N/A</c:v>
                </c:pt>
                <c:pt idx="954">
                  <c:v>#N/A</c:v>
                </c:pt>
                <c:pt idx="955">
                  <c:v>#N/A</c:v>
                </c:pt>
                <c:pt idx="956">
                  <c:v>#N/A</c:v>
                </c:pt>
                <c:pt idx="957">
                  <c:v>#N/A</c:v>
                </c:pt>
                <c:pt idx="958">
                  <c:v>#N/A</c:v>
                </c:pt>
                <c:pt idx="959">
                  <c:v>#N/A</c:v>
                </c:pt>
                <c:pt idx="960">
                  <c:v>23.999999999999957</c:v>
                </c:pt>
                <c:pt idx="961">
                  <c:v>#N/A</c:v>
                </c:pt>
                <c:pt idx="962">
                  <c:v>#N/A</c:v>
                </c:pt>
                <c:pt idx="963">
                  <c:v>#N/A</c:v>
                </c:pt>
                <c:pt idx="964">
                  <c:v>#N/A</c:v>
                </c:pt>
                <c:pt idx="965">
                  <c:v>#N/A</c:v>
                </c:pt>
                <c:pt idx="966">
                  <c:v>#N/A</c:v>
                </c:pt>
                <c:pt idx="967">
                  <c:v>#N/A</c:v>
                </c:pt>
                <c:pt idx="968">
                  <c:v>#N/A</c:v>
                </c:pt>
                <c:pt idx="969">
                  <c:v>#N/A</c:v>
                </c:pt>
                <c:pt idx="970">
                  <c:v>24.999999999999972</c:v>
                </c:pt>
                <c:pt idx="971">
                  <c:v>#N/A</c:v>
                </c:pt>
                <c:pt idx="972">
                  <c:v>#N/A</c:v>
                </c:pt>
                <c:pt idx="973">
                  <c:v>#N/A</c:v>
                </c:pt>
                <c:pt idx="974">
                  <c:v>#N/A</c:v>
                </c:pt>
                <c:pt idx="975">
                  <c:v>#N/A</c:v>
                </c:pt>
                <c:pt idx="976">
                  <c:v>#N/A</c:v>
                </c:pt>
                <c:pt idx="977">
                  <c:v>#N/A</c:v>
                </c:pt>
                <c:pt idx="978">
                  <c:v>#N/A</c:v>
                </c:pt>
                <c:pt idx="979">
                  <c:v>#N/A</c:v>
                </c:pt>
                <c:pt idx="980">
                  <c:v>25.999999999999986</c:v>
                </c:pt>
                <c:pt idx="981">
                  <c:v>#N/A</c:v>
                </c:pt>
                <c:pt idx="982">
                  <c:v>#N/A</c:v>
                </c:pt>
                <c:pt idx="983">
                  <c:v>#N/A</c:v>
                </c:pt>
                <c:pt idx="984">
                  <c:v>#N/A</c:v>
                </c:pt>
                <c:pt idx="985">
                  <c:v>#N/A</c:v>
                </c:pt>
                <c:pt idx="986">
                  <c:v>#N/A</c:v>
                </c:pt>
                <c:pt idx="987">
                  <c:v>#N/A</c:v>
                </c:pt>
                <c:pt idx="988">
                  <c:v>#N/A</c:v>
                </c:pt>
                <c:pt idx="989">
                  <c:v>#N/A</c:v>
                </c:pt>
                <c:pt idx="990">
                  <c:v>27</c:v>
                </c:pt>
                <c:pt idx="991">
                  <c:v>#N/A</c:v>
                </c:pt>
                <c:pt idx="992">
                  <c:v>#N/A</c:v>
                </c:pt>
                <c:pt idx="993">
                  <c:v>#N/A</c:v>
                </c:pt>
                <c:pt idx="994">
                  <c:v>#N/A</c:v>
                </c:pt>
                <c:pt idx="995">
                  <c:v>#N/A</c:v>
                </c:pt>
                <c:pt idx="996">
                  <c:v>#N/A</c:v>
                </c:pt>
                <c:pt idx="997">
                  <c:v>#N/A</c:v>
                </c:pt>
                <c:pt idx="998">
                  <c:v>#N/A</c:v>
                </c:pt>
                <c:pt idx="999">
                  <c:v>#N/A</c:v>
                </c:pt>
                <c:pt idx="1000">
                  <c:v>28.000000000000014</c:v>
                </c:pt>
              </c:numCache>
            </c:numRef>
          </c:xVal>
          <c:yVal>
            <c:numRef>
              <c:f>Calculs!$K$4:$K$1004</c:f>
              <c:numCache>
                <c:formatCode>0.00</c:formatCode>
                <c:ptCount val="1001"/>
                <c:pt idx="0">
                  <c:v>0</c:v>
                </c:pt>
                <c:pt idx="1">
                  <c:v>0</c:v>
                </c:pt>
                <c:pt idx="2">
                  <c:v>6.0020307963908244E-4</c:v>
                </c:pt>
                <c:pt idx="3">
                  <c:v>3.1064297722816271E-3</c:v>
                </c:pt>
                <c:pt idx="4">
                  <c:v>8.9304400737679878E-3</c:v>
                </c:pt>
                <c:pt idx="5">
                  <c:v>1.9213038171493942E-2</c:v>
                </c:pt>
                <c:pt idx="6">
                  <c:v>3.4551735190846859E-2</c:v>
                </c:pt>
                <c:pt idx="7">
                  <c:v>5.5272410308980426E-2</c:v>
                </c:pt>
                <c:pt idx="8">
                  <c:v>8.1701311614856109E-2</c:v>
                </c:pt>
                <c:pt idx="9">
                  <c:v>0.11409101034021218</c:v>
                </c:pt>
                <c:pt idx="10">
                  <c:v>0.15254622098685661</c:v>
                </c:pt>
                <c:pt idx="11">
                  <c:v>0.19709767448295912</c:v>
                </c:pt>
                <c:pt idx="12">
                  <c:v>0.24777611687929663</c:v>
                </c:pt>
                <c:pt idx="13">
                  <c:v>0.30461230917663479</c:v>
                </c:pt>
                <c:pt idx="14">
                  <c:v>0.36763702715105351</c:v>
                </c:pt>
                <c:pt idx="15">
                  <c:v>0.43688106117721259</c:v>
                </c:pt>
                <c:pt idx="16">
                  <c:v>0.51237521604955294</c:v>
                </c:pt>
                <c:pt idx="17">
                  <c:v>0.59415031080143055</c:v>
                </c:pt>
                <c:pt idx="18">
                  <c:v>0.68223717852217791</c:v>
                </c:pt>
                <c:pt idx="19">
                  <c:v>0.77666666617209035</c:v>
                </c:pt>
                <c:pt idx="20">
                  <c:v>0.87746963439533288</c:v>
                </c:pt>
                <c:pt idx="21">
                  <c:v>0.98467177246483362</c:v>
                </c:pt>
                <c:pt idx="22">
                  <c:v>1.0982858104545967</c:v>
                </c:pt>
                <c:pt idx="23">
                  <c:v>1.2183166870123663</c:v>
                </c:pt>
                <c:pt idx="24">
                  <c:v>1.344769319957301</c:v>
                </c:pt>
                <c:pt idx="25">
                  <c:v>1.4776486061968197</c:v>
                </c:pt>
                <c:pt idx="26">
                  <c:v>1.6169594216436829</c:v>
                </c:pt>
                <c:pt idx="27">
                  <c:v>1.7627066211333124</c:v>
                </c:pt>
                <c:pt idx="28">
                  <c:v>1.9148950383413548</c:v>
                </c:pt>
                <c:pt idx="29">
                  <c:v>2.0735294857014872</c:v>
                </c:pt>
                <c:pt idx="30">
                  <c:v>2.2386147543234749</c:v>
                </c:pt>
                <c:pt idx="31">
                  <c:v>2.4101556139114795</c:v>
                </c:pt>
                <c:pt idx="32">
                  <c:v>2.58815681268262</c:v>
                </c:pt>
                <c:pt idx="33">
                  <c:v>2.7726230772857963</c:v>
                </c:pt>
                <c:pt idx="34">
                  <c:v>2.9635591127207697</c:v>
                </c:pt>
                <c:pt idx="35">
                  <c:v>3.1609696022575111</c:v>
                </c:pt>
                <c:pt idx="36">
                  <c:v>3.3648592073558166</c:v>
                </c:pt>
                <c:pt idx="37">
                  <c:v>3.5752325675851915</c:v>
                </c:pt>
                <c:pt idx="38">
                  <c:v>3.792094300545013</c:v>
                </c:pt>
                <c:pt idx="39">
                  <c:v>4.0154490017849662</c:v>
                </c:pt>
                <c:pt idx="40">
                  <c:v>4.245268372254003</c:v>
                </c:pt>
                <c:pt idx="41">
                  <c:v>4.4815230598689961</c:v>
                </c:pt>
                <c:pt idx="42">
                  <c:v>4.7242155341504413</c:v>
                </c:pt>
                <c:pt idx="43">
                  <c:v>4.9733482628268959</c:v>
                </c:pt>
                <c:pt idx="44">
                  <c:v>5.2289237270389517</c:v>
                </c:pt>
                <c:pt idx="45">
                  <c:v>5.4909444197044968</c:v>
                </c:pt>
                <c:pt idx="46">
                  <c:v>5.7594139932198782</c:v>
                </c:pt>
                <c:pt idx="47">
                  <c:v>6.0343375462237931</c:v>
                </c:pt>
                <c:pt idx="48">
                  <c:v>6.315720474067315</c:v>
                </c:pt>
                <c:pt idx="49">
                  <c:v>6.6035681804072341</c:v>
                </c:pt>
                <c:pt idx="50">
                  <c:v>6.8978860760314129</c:v>
                </c:pt>
                <c:pt idx="51">
                  <c:v>7.1986795777479582</c:v>
                </c:pt>
                <c:pt idx="52">
                  <c:v>7.5059541073332108</c:v>
                </c:pt>
                <c:pt idx="53">
                  <c:v>7.8197150905340074</c:v>
                </c:pt>
                <c:pt idx="54">
                  <c:v>8.1399679561201346</c:v>
                </c:pt>
                <c:pt idx="55">
                  <c:v>8.4667181349832621</c:v>
                </c:pt>
                <c:pt idx="56">
                  <c:v>8.7999710592789864</c:v>
                </c:pt>
                <c:pt idx="57">
                  <c:v>9.1397321616089311</c:v>
                </c:pt>
                <c:pt idx="58">
                  <c:v>9.4860068742401058</c:v>
                </c:pt>
                <c:pt idx="59">
                  <c:v>9.8388006283589799</c:v>
                </c:pt>
                <c:pt idx="60">
                  <c:v>10.198118853357954</c:v>
                </c:pt>
                <c:pt idx="61">
                  <c:v>10.563966976152077</c:v>
                </c:pt>
                <c:pt idx="62">
                  <c:v>10.936350420524066</c:v>
                </c:pt>
                <c:pt idx="63">
                  <c:v>11.31527460649583</c:v>
                </c:pt>
                <c:pt idx="64">
                  <c:v>11.700744949724843</c:v>
                </c:pt>
                <c:pt idx="65">
                  <c:v>12.09276686092384</c:v>
                </c:pt>
                <c:pt idx="66">
                  <c:v>12.491345745302434</c:v>
                </c:pt>
                <c:pt idx="67">
                  <c:v>12.896487002029355</c:v>
                </c:pt>
                <c:pt idx="68">
                  <c:v>13.308196023714103</c:v>
                </c:pt>
                <c:pt idx="69">
                  <c:v>13.726495953160748</c:v>
                </c:pt>
                <c:pt idx="70">
                  <c:v>14.151435309654898</c:v>
                </c:pt>
                <c:pt idx="71">
                  <c:v>14.583070251808925</c:v>
                </c:pt>
                <c:pt idx="72">
                  <c:v>15.021456971123982</c:v>
                </c:pt>
                <c:pt idx="73">
                  <c:v>15.466651691976699</c:v>
                </c:pt>
                <c:pt idx="74">
                  <c:v>15.91871067159725</c:v>
                </c:pt>
                <c:pt idx="75">
                  <c:v>16.37769020003886</c:v>
                </c:pt>
                <c:pt idx="76">
                  <c:v>16.843646600138818</c:v>
                </c:pt>
                <c:pt idx="77">
                  <c:v>17.316603517890766</c:v>
                </c:pt>
                <c:pt idx="78">
                  <c:v>17.796537870571601</c:v>
                </c:pt>
                <c:pt idx="79">
                  <c:v>18.283412515329072</c:v>
                </c:pt>
                <c:pt idx="80">
                  <c:v>18.777190260060998</c:v>
                </c:pt>
                <c:pt idx="81">
                  <c:v>19.277833863478786</c:v>
                </c:pt>
                <c:pt idx="82">
                  <c:v>19.785306035198456</c:v>
                </c:pt>
                <c:pt idx="83">
                  <c:v>20.299569435857503</c:v>
                </c:pt>
                <c:pt idx="84">
                  <c:v>20.820586677256149</c:v>
                </c:pt>
                <c:pt idx="85">
                  <c:v>21.348320322521534</c:v>
                </c:pt>
                <c:pt idx="86">
                  <c:v>21.882737318809799</c:v>
                </c:pt>
                <c:pt idx="87">
                  <c:v>22.423826736940129</c:v>
                </c:pt>
                <c:pt idx="88">
                  <c:v>22.971595356504743</c:v>
                </c:pt>
                <c:pt idx="89">
                  <c:v>23.526049943819491</c:v>
                </c:pt>
                <c:pt idx="90">
                  <c:v>24.087197251647176</c:v>
                </c:pt>
                <c:pt idx="91">
                  <c:v>24.655044018926493</c:v>
                </c:pt>
                <c:pt idx="92">
                  <c:v>25.229596970506371</c:v>
                </c:pt>
                <c:pt idx="93">
                  <c:v>25.810862816885468</c:v>
                </c:pt>
                <c:pt idx="94">
                  <c:v>26.398848253956661</c:v>
                </c:pt>
                <c:pt idx="95">
                  <c:v>26.993559962756301</c:v>
                </c:pt>
                <c:pt idx="96">
                  <c:v>27.595004609218087</c:v>
                </c:pt>
                <c:pt idx="97">
                  <c:v>28.203188843931358</c:v>
                </c:pt>
                <c:pt idx="98">
                  <c:v>28.818119301903657</c:v>
                </c:pt>
                <c:pt idx="99">
                  <c:v>29.439802602327418</c:v>
                </c:pt>
                <c:pt idx="100">
                  <c:v>30.068245348350608</c:v>
                </c:pt>
                <c:pt idx="101">
                  <c:v>30.703454126851195</c:v>
                </c:pt>
                <c:pt idx="102">
                  <c:v>31.345435508215328</c:v>
                </c:pt>
                <c:pt idx="103">
                  <c:v>31.994196046119072</c:v>
                </c:pt>
                <c:pt idx="104">
                  <c:v>32.649742277313599</c:v>
                </c:pt>
                <c:pt idx="105">
                  <c:v>33.312080721413722</c:v>
                </c:pt>
                <c:pt idx="106">
                  <c:v>33.981217880689627</c:v>
                </c:pt>
                <c:pt idx="107">
                  <c:v>34.65716023986176</c:v>
                </c:pt>
                <c:pt idx="108">
                  <c:v>35.339914265898742</c:v>
                </c:pt>
                <c:pt idx="109">
                  <c:v>36.02948640781819</c:v>
                </c:pt>
                <c:pt idx="110">
                  <c:v>36.725883096490385</c:v>
                </c:pt>
                <c:pt idx="111">
                  <c:v>37.429110744444706</c:v>
                </c:pt>
                <c:pt idx="112">
                  <c:v>38.139175745678756</c:v>
                </c:pt>
                <c:pt idx="113">
                  <c:v>38.856084475470048</c:v>
                </c:pt>
                <c:pt idx="114">
                  <c:v>39.579843290190226</c:v>
                </c:pt>
                <c:pt idx="115">
                  <c:v>40.310458527121753</c:v>
                </c:pt>
                <c:pt idx="116">
                  <c:v>41.047936504276976</c:v>
                </c:pt>
                <c:pt idx="117">
                  <c:v>41.792283520219499</c:v>
                </c:pt>
                <c:pt idx="118">
                  <c:v>42.543505853887829</c:v>
                </c:pt>
                <c:pt idx="119">
                  <c:v>43.301609764421201</c:v>
                </c:pt>
                <c:pt idx="120">
                  <c:v>44.066601490987566</c:v>
                </c:pt>
                <c:pt idx="121">
                  <c:v>44.838487252613653</c:v>
                </c:pt>
                <c:pt idx="122">
                  <c:v>45.617273248017078</c:v>
                </c:pt>
                <c:pt idx="123">
                  <c:v>46.402965655440411</c:v>
                </c:pt>
                <c:pt idx="124">
                  <c:v>47.195570632487225</c:v>
                </c:pt>
                <c:pt idx="125">
                  <c:v>47.995094315959989</c:v>
                </c:pt>
                <c:pt idx="126">
                  <c:v>48.801542821699847</c:v>
                </c:pt>
                <c:pt idx="127">
                  <c:v>49.6149222444282</c:v>
                </c:pt>
                <c:pt idx="128">
                  <c:v>50.435238657590027</c:v>
                </c:pt>
                <c:pt idx="129">
                  <c:v>51.262498113198973</c:v>
                </c:pt>
                <c:pt idx="130">
                  <c:v>52.096706641684108</c:v>
                </c:pt>
                <c:pt idx="131">
                  <c:v>52.937870251738339</c:v>
                </c:pt>
                <c:pt idx="132">
                  <c:v>53.785994930168464</c:v>
                </c:pt>
                <c:pt idx="133">
                  <c:v>54.641086641746789</c:v>
                </c:pt>
                <c:pt idx="134">
                  <c:v>55.503151329064345</c:v>
                </c:pt>
                <c:pt idx="135">
                  <c:v>56.372194912385602</c:v>
                </c:pt>
                <c:pt idx="136">
                  <c:v>57.248223289504686</c:v>
                </c:pt>
                <c:pt idx="137">
                  <c:v>58.131242335603091</c:v>
                </c:pt>
                <c:pt idx="138">
                  <c:v>59.021257903108818</c:v>
                </c:pt>
                <c:pt idx="139">
                  <c:v>59.918275821556954</c:v>
                </c:pt>
                <c:pt idx="140">
                  <c:v>60.822301897451638</c:v>
                </c:pt>
                <c:pt idx="141">
                  <c:v>61.733341914129397</c:v>
                </c:pt>
                <c:pt idx="142">
                  <c:v>62.651401631623862</c:v>
                </c:pt>
                <c:pt idx="143">
                  <c:v>63.576486786531774</c:v>
                </c:pt>
                <c:pt idx="144">
                  <c:v>64.508603091880332</c:v>
                </c:pt>
                <c:pt idx="145">
                  <c:v>65.447756236995815</c:v>
                </c:pt>
                <c:pt idx="146">
                  <c:v>66.393951887373518</c:v>
                </c:pt>
                <c:pt idx="147">
                  <c:v>67.347195684548865</c:v>
                </c:pt>
                <c:pt idx="148">
                  <c:v>68.307493245969823</c:v>
                </c:pt>
                <c:pt idx="149">
                  <c:v>69.274850164870514</c:v>
                </c:pt>
                <c:pt idx="150">
                  <c:v>70.249272010146015</c:v>
                </c:pt>
                <c:pt idx="151">
                  <c:v>71.230764326228382</c:v>
                </c:pt>
                <c:pt idx="152">
                  <c:v>72.219332632963827</c:v>
                </c:pt>
                <c:pt idx="153">
                  <c:v>73.214982425491044</c:v>
                </c:pt>
                <c:pt idx="154">
                  <c:v>74.217719174120688</c:v>
                </c:pt>
                <c:pt idx="155">
                  <c:v>75.227548324216002</c:v>
                </c:pt>
                <c:pt idx="156">
                  <c:v>76.24447529607454</c:v>
                </c:pt>
                <c:pt idx="157">
                  <c:v>77.268505484811001</c:v>
                </c:pt>
                <c:pt idx="158">
                  <c:v>78.299644260241209</c:v>
                </c:pt>
                <c:pt idx="159">
                  <c:v>79.337896966767062</c:v>
                </c:pt>
                <c:pt idx="160">
                  <c:v>80.383268923262705</c:v>
                </c:pt>
                <c:pt idx="161">
                  <c:v>81.435765422961623</c:v>
                </c:pt>
                <c:pt idx="162">
                  <c:v>82.495391733344903</c:v>
                </c:pt>
                <c:pt idx="163">
                  <c:v>83.562153096030471</c:v>
                </c:pt>
                <c:pt idx="164">
                  <c:v>84.636054726663374</c:v>
                </c:pt>
                <c:pt idx="165">
                  <c:v>85.717101814807137</c:v>
                </c:pt>
                <c:pt idx="166">
                  <c:v>86.805299523836055</c:v>
                </c:pt>
                <c:pt idx="167">
                  <c:v>87.900652990828576</c:v>
                </c:pt>
                <c:pt idx="168">
                  <c:v>89.003167326461664</c:v>
                </c:pt>
                <c:pt idx="169">
                  <c:v>90.112847614906087</c:v>
                </c:pt>
                <c:pt idx="170">
                  <c:v>91.229698913722814</c:v>
                </c:pt>
                <c:pt idx="171">
                  <c:v>92.3537262537603</c:v>
                </c:pt>
                <c:pt idx="172">
                  <c:v>93.48493463905281</c:v>
                </c:pt>
                <c:pt idx="173">
                  <c:v>94.623329046719618</c:v>
                </c:pt>
                <c:pt idx="174">
                  <c:v>95.768914426865308</c:v>
                </c:pt>
                <c:pt idx="175">
                  <c:v>96.921695702480889</c:v>
                </c:pt>
                <c:pt idx="176">
                  <c:v>98.081677769345987</c:v>
                </c:pt>
                <c:pt idx="177">
                  <c:v>99.248865495931881</c:v>
                </c:pt>
                <c:pt idx="178">
                  <c:v>100.42326372330557</c:v>
                </c:pt>
                <c:pt idx="179">
                  <c:v>101.60487726503467</c:v>
                </c:pt>
                <c:pt idx="180">
                  <c:v>102.79371090709337</c:v>
                </c:pt>
                <c:pt idx="181">
                  <c:v>103.98976940776923</c:v>
                </c:pt>
                <c:pt idx="182">
                  <c:v>105.1930574975709</c:v>
                </c:pt>
                <c:pt idx="183">
                  <c:v>106.40357987913686</c:v>
                </c:pt>
                <c:pt idx="184">
                  <c:v>107.6213412271449</c:v>
                </c:pt>
                <c:pt idx="185">
                  <c:v>108.8463461882227</c:v>
                </c:pt>
                <c:pt idx="186">
                  <c:v>110.07859938085919</c:v>
                </c:pt>
                <c:pt idx="187">
                  <c:v>111.31810539531691</c:v>
                </c:pt>
                <c:pt idx="188">
                  <c:v>112.56486879354514</c:v>
                </c:pt>
                <c:pt idx="189">
                  <c:v>113.81889410909413</c:v>
                </c:pt>
                <c:pt idx="190">
                  <c:v>115.08018584703002</c:v>
                </c:pt>
                <c:pt idx="191">
                  <c:v>116.34874848385078</c:v>
                </c:pt>
                <c:pt idx="192">
                  <c:v>117.62458646740303</c:v>
                </c:pt>
                <c:pt idx="193">
                  <c:v>118.90770421679971</c:v>
                </c:pt>
                <c:pt idx="194">
                  <c:v>120.19810612233867</c:v>
                </c:pt>
                <c:pt idx="195">
                  <c:v>121.49579654542211</c:v>
                </c:pt>
                <c:pt idx="196">
                  <c:v>122.80077981847698</c:v>
                </c:pt>
                <c:pt idx="197">
                  <c:v>124.11306024487618</c:v>
                </c:pt>
                <c:pt idx="198">
                  <c:v>125.43264209886067</c:v>
                </c:pt>
                <c:pt idx="199">
                  <c:v>126.75952962546245</c:v>
                </c:pt>
                <c:pt idx="200">
                  <c:v>128.09372704042849</c:v>
                </c:pt>
                <c:pt idx="201">
                  <c:v>129.43523853014537</c:v>
                </c:pt>
                <c:pt idx="202">
                  <c:v>130.784068251565</c:v>
                </c:pt>
                <c:pt idx="203">
                  <c:v>132.14022033213104</c:v>
                </c:pt>
                <c:pt idx="204">
                  <c:v>133.50369886970631</c:v>
                </c:pt>
                <c:pt idx="205">
                  <c:v>134.87450793250099</c:v>
                </c:pt>
                <c:pt idx="206">
                  <c:v>136.25265155900172</c:v>
                </c:pt>
                <c:pt idx="207">
                  <c:v>137.63813375790161</c:v>
                </c:pt>
                <c:pt idx="208">
                  <c:v>139.03095850803103</c:v>
                </c:pt>
                <c:pt idx="209">
                  <c:v>140.43112975828936</c:v>
                </c:pt>
                <c:pt idx="210">
                  <c:v>141.8386514275775</c:v>
                </c:pt>
                <c:pt idx="211">
                  <c:v>143.25352740473141</c:v>
                </c:pt>
                <c:pt idx="212">
                  <c:v>144.67576154845631</c:v>
                </c:pt>
                <c:pt idx="213">
                  <c:v>146.10535768726186</c:v>
                </c:pt>
                <c:pt idx="214">
                  <c:v>147.54231961939826</c:v>
                </c:pt>
                <c:pt idx="215">
                  <c:v>148.98665111279308</c:v>
                </c:pt>
                <c:pt idx="216">
                  <c:v>150.43835590498904</c:v>
                </c:pt>
                <c:pt idx="217">
                  <c:v>151.89743770308257</c:v>
                </c:pt>
                <c:pt idx="218">
                  <c:v>153.36390018366342</c:v>
                </c:pt>
                <c:pt idx="219">
                  <c:v>154.83774699275489</c:v>
                </c:pt>
                <c:pt idx="220">
                  <c:v>156.31898174575505</c:v>
                </c:pt>
                <c:pt idx="221">
                  <c:v>157.80760802737888</c:v>
                </c:pt>
                <c:pt idx="222">
                  <c:v>159.30362939160105</c:v>
                </c:pt>
                <c:pt idx="223">
                  <c:v>160.80704936159989</c:v>
                </c:pt>
                <c:pt idx="224">
                  <c:v>162.31787142970188</c:v>
                </c:pt>
                <c:pt idx="225">
                  <c:v>163.83609905732729</c:v>
                </c:pt>
                <c:pt idx="226">
                  <c:v>165.36173567493643</c:v>
                </c:pt>
                <c:pt idx="227">
                  <c:v>166.89478468197697</c:v>
                </c:pt>
                <c:pt idx="228">
                  <c:v>168.43524944683202</c:v>
                </c:pt>
                <c:pt idx="229">
                  <c:v>169.98313330676905</c:v>
                </c:pt>
                <c:pt idx="230">
                  <c:v>171.53843956788972</c:v>
                </c:pt>
                <c:pt idx="231">
                  <c:v>173.1011715050806</c:v>
                </c:pt>
                <c:pt idx="232">
                  <c:v>174.67133236196466</c:v>
                </c:pt>
                <c:pt idx="233">
                  <c:v>176.24892535085368</c:v>
                </c:pt>
                <c:pt idx="234">
                  <c:v>177.83395365270155</c:v>
                </c:pt>
                <c:pt idx="235">
                  <c:v>179.42642041705832</c:v>
                </c:pt>
                <c:pt idx="236">
                  <c:v>181.02632876202529</c:v>
                </c:pt>
                <c:pt idx="237">
                  <c:v>182.63368177421074</c:v>
                </c:pt>
                <c:pt idx="238">
                  <c:v>184.24848250868678</c:v>
                </c:pt>
                <c:pt idx="239">
                  <c:v>185.8707339889468</c:v>
                </c:pt>
                <c:pt idx="240">
                  <c:v>187.50043920686397</c:v>
                </c:pt>
                <c:pt idx="241">
                  <c:v>189.13760112265055</c:v>
                </c:pt>
                <c:pt idx="242">
                  <c:v>190.78222266481805</c:v>
                </c:pt>
                <c:pt idx="243">
                  <c:v>192.43430673013827</c:v>
                </c:pt>
                <c:pt idx="244">
                  <c:v>194.0938743296189</c:v>
                </c:pt>
                <c:pt idx="245">
                  <c:v>195.76096459640894</c:v>
                </c:pt>
                <c:pt idx="246">
                  <c:v>197.43561664759437</c:v>
                </c:pt>
                <c:pt idx="247">
                  <c:v>199.11786958396672</c:v>
                </c:pt>
                <c:pt idx="248">
                  <c:v>200.80776248978884</c:v>
                </c:pt>
                <c:pt idx="249">
                  <c:v>202.50533443255796</c:v>
                </c:pt>
                <c:pt idx="250">
                  <c:v>204.21062446276582</c:v>
                </c:pt>
                <c:pt idx="251">
                  <c:v>205.92367161365613</c:v>
                </c:pt>
                <c:pt idx="252">
                  <c:v>207.64451490097915</c:v>
                </c:pt>
                <c:pt idx="253">
                  <c:v>209.3731832852506</c:v>
                </c:pt>
                <c:pt idx="254">
                  <c:v>211.10968562359071</c:v>
                </c:pt>
                <c:pt idx="255">
                  <c:v>212.85402069765519</c:v>
                </c:pt>
                <c:pt idx="256">
                  <c:v>214.6061872521197</c:v>
                </c:pt>
                <c:pt idx="257">
                  <c:v>216.36618399470018</c:v>
                </c:pt>
                <c:pt idx="258">
                  <c:v>218.13400959617448</c:v>
                </c:pt>
                <c:pt idx="259">
                  <c:v>219.90966269040521</c:v>
                </c:pt>
                <c:pt idx="260">
                  <c:v>221.69314187436356</c:v>
                </c:pt>
                <c:pt idx="261">
                  <c:v>223.48444570815437</c:v>
                </c:pt>
                <c:pt idx="262">
                  <c:v>225.28357271504234</c:v>
                </c:pt>
                <c:pt idx="263">
                  <c:v>227.09052138147933</c:v>
                </c:pt>
                <c:pt idx="264">
                  <c:v>228.90529015713281</c:v>
                </c:pt>
                <c:pt idx="265">
                  <c:v>230.72787745491542</c:v>
                </c:pt>
                <c:pt idx="266">
                  <c:v>232.55828165101565</c:v>
                </c:pt>
                <c:pt idx="267">
                  <c:v>234.3965010849297</c:v>
                </c:pt>
                <c:pt idx="268">
                  <c:v>236.24253405949432</c:v>
                </c:pt>
                <c:pt idx="269">
                  <c:v>238.09637884092092</c:v>
                </c:pt>
                <c:pt idx="270">
                  <c:v>239.95803365883069</c:v>
                </c:pt>
                <c:pt idx="271">
                  <c:v>241.82749670629079</c:v>
                </c:pt>
                <c:pt idx="272">
                  <c:v>243.70476613985181</c:v>
                </c:pt>
                <c:pt idx="273">
                  <c:v>245.58984007958608</c:v>
                </c:pt>
                <c:pt idx="274">
                  <c:v>247.48271660912732</c:v>
                </c:pt>
                <c:pt idx="275">
                  <c:v>249.38339377571117</c:v>
                </c:pt>
                <c:pt idx="276">
                  <c:v>251.29186959021695</c:v>
                </c:pt>
                <c:pt idx="277">
                  <c:v>253.20814153835099</c:v>
                </c:pt>
                <c:pt idx="278">
                  <c:v>255.13220584680195</c:v>
                </c:pt>
                <c:pt idx="279">
                  <c:v>257.06405797173414</c:v>
                </c:pt>
                <c:pt idx="280">
                  <c:v>259.0036933323297</c:v>
                </c:pt>
                <c:pt idx="281">
                  <c:v>260.95110731087317</c:v>
                </c:pt>
                <c:pt idx="282">
                  <c:v>262.90629525283737</c:v>
                </c:pt>
                <c:pt idx="283">
                  <c:v>264.86925246697018</c:v>
                </c:pt>
                <c:pt idx="284">
                  <c:v>266.83997422538255</c:v>
                </c:pt>
                <c:pt idx="285">
                  <c:v>268.81845576363742</c:v>
                </c:pt>
                <c:pt idx="286">
                  <c:v>270.80469228083984</c:v>
                </c:pt>
                <c:pt idx="287">
                  <c:v>272.79867893972812</c:v>
                </c:pt>
                <c:pt idx="288">
                  <c:v>274.80041086676601</c:v>
                </c:pt>
                <c:pt idx="289">
                  <c:v>276.80988315223601</c:v>
                </c:pt>
                <c:pt idx="290">
                  <c:v>278.82709085033372</c:v>
                </c:pt>
                <c:pt idx="291">
                  <c:v>280.85202897926303</c:v>
                </c:pt>
                <c:pt idx="292">
                  <c:v>282.88469252133262</c:v>
                </c:pt>
                <c:pt idx="293">
                  <c:v>284.92507642305338</c:v>
                </c:pt>
                <c:pt idx="294">
                  <c:v>286.97317559523674</c:v>
                </c:pt>
                <c:pt idx="295">
                  <c:v>289.02898491309418</c:v>
                </c:pt>
                <c:pt idx="296">
                  <c:v>291.09249921633767</c:v>
                </c:pt>
                <c:pt idx="297">
                  <c:v>293.16371330928121</c:v>
                </c:pt>
                <c:pt idx="298">
                  <c:v>295.24262196094304</c:v>
                </c:pt>
                <c:pt idx="299">
                  <c:v>297.32921990514927</c:v>
                </c:pt>
                <c:pt idx="300">
                  <c:v>299.42350184063832</c:v>
                </c:pt>
                <c:pt idx="301">
                  <c:v>301.52546243116609</c:v>
                </c:pt>
                <c:pt idx="302">
                  <c:v>303.63509630561259</c:v>
                </c:pt>
                <c:pt idx="303">
                  <c:v>305.75239805808911</c:v>
                </c:pt>
                <c:pt idx="304">
                  <c:v>307.8773622480465</c:v>
                </c:pt>
                <c:pt idx="305">
                  <c:v>310.00998340038433</c:v>
                </c:pt>
                <c:pt idx="306">
                  <c:v>312.15025600556129</c:v>
                </c:pt>
                <c:pt idx="307">
                  <c:v>314.29817451970604</c:v>
                </c:pt>
                <c:pt idx="308">
                  <c:v>316.45373336472932</c:v>
                </c:pt>
                <c:pt idx="309">
                  <c:v>318.61692692843701</c:v>
                </c:pt>
                <c:pt idx="310">
                  <c:v>320.78774956464389</c:v>
                </c:pt>
                <c:pt idx="311">
                  <c:v>322.96619559328838</c:v>
                </c:pt>
                <c:pt idx="312">
                  <c:v>325.15225930054828</c:v>
                </c:pt>
                <c:pt idx="313">
                  <c:v>327.34593493895738</c:v>
                </c:pt>
                <c:pt idx="314">
                  <c:v>329.54721672752288</c:v>
                </c:pt>
                <c:pt idx="315">
                  <c:v>331.7560988518436</c:v>
                </c:pt>
                <c:pt idx="316">
                  <c:v>333.97257546422952</c:v>
                </c:pt>
                <c:pt idx="317">
                  <c:v>336.1966406838215</c:v>
                </c:pt>
                <c:pt idx="318">
                  <c:v>338.42828859671243</c:v>
                </c:pt>
                <c:pt idx="319">
                  <c:v>340.66751325606907</c:v>
                </c:pt>
                <c:pt idx="320">
                  <c:v>342.91430868225456</c:v>
                </c:pt>
                <c:pt idx="321">
                  <c:v>345.1686688629519</c:v>
                </c:pt>
                <c:pt idx="322">
                  <c:v>347.43058775328842</c:v>
                </c:pt>
                <c:pt idx="323">
                  <c:v>349.70005927596083</c:v>
                </c:pt>
                <c:pt idx="324">
                  <c:v>351.97707732136115</c:v>
                </c:pt>
                <c:pt idx="325">
                  <c:v>354.26163574770351</c:v>
                </c:pt>
                <c:pt idx="326">
                  <c:v>356.55372838115181</c:v>
                </c:pt>
                <c:pt idx="327">
                  <c:v>358.85334901594808</c:v>
                </c:pt>
                <c:pt idx="328">
                  <c:v>361.16049141454153</c:v>
                </c:pt>
                <c:pt idx="329">
                  <c:v>363.4751493077186</c:v>
                </c:pt>
                <c:pt idx="330">
                  <c:v>365.79731639473368</c:v>
                </c:pt>
                <c:pt idx="331">
                  <c:v>368.12698634344076</c:v>
                </c:pt>
                <c:pt idx="332">
                  <c:v>370.46415279042537</c:v>
                </c:pt>
                <c:pt idx="333">
                  <c:v>372.80880934113793</c:v>
                </c:pt>
                <c:pt idx="334">
                  <c:v>375.16094957002736</c:v>
                </c:pt>
                <c:pt idx="335">
                  <c:v>377.52056702067557</c:v>
                </c:pt>
                <c:pt idx="336">
                  <c:v>379.88765520593284</c:v>
                </c:pt>
                <c:pt idx="337">
                  <c:v>382.2622076080537</c:v>
                </c:pt>
                <c:pt idx="338">
                  <c:v>384.64421767883363</c:v>
                </c:pt>
                <c:pt idx="339">
                  <c:v>387.03367883974653</c:v>
                </c:pt>
                <c:pt idx="340">
                  <c:v>389.43058448208274</c:v>
                </c:pt>
                <c:pt idx="341">
                  <c:v>391.83492796708799</c:v>
                </c:pt>
                <c:pt idx="342">
                  <c:v>394.24670262610277</c:v>
                </c:pt>
                <c:pt idx="343">
                  <c:v>396.66590176070264</c:v>
                </c:pt>
                <c:pt idx="344">
                  <c:v>399.09251905555942</c:v>
                </c:pt>
                <c:pt idx="345">
                  <c:v>401.52655229540341</c:v>
                </c:pt>
                <c:pt idx="346">
                  <c:v>403.9680029523476</c:v>
                </c:pt>
                <c:pt idx="347">
                  <c:v>406.41687246905366</c:v>
                </c:pt>
                <c:pt idx="348">
                  <c:v>408.87316225875742</c:v>
                </c:pt>
                <c:pt idx="349">
                  <c:v>411.33687370529537</c:v>
                </c:pt>
                <c:pt idx="350">
                  <c:v>413.8080081631316</c:v>
                </c:pt>
                <c:pt idx="351">
                  <c:v>416.28656695738573</c:v>
                </c:pt>
                <c:pt idx="352">
                  <c:v>418.77255138386136</c:v>
                </c:pt>
                <c:pt idx="353">
                  <c:v>421.2659627090755</c:v>
                </c:pt>
                <c:pt idx="354">
                  <c:v>423.76680217028837</c:v>
                </c:pt>
                <c:pt idx="355">
                  <c:v>426.27507097553433</c:v>
                </c:pt>
                <c:pt idx="356">
                  <c:v>428.79077030365323</c:v>
                </c:pt>
                <c:pt idx="357">
                  <c:v>431.31390130432266</c:v>
                </c:pt>
                <c:pt idx="358">
                  <c:v>433.84446509809072</c:v>
                </c:pt>
                <c:pt idx="359">
                  <c:v>436.38246277640991</c:v>
                </c:pt>
                <c:pt idx="360">
                  <c:v>438.92789540167132</c:v>
                </c:pt>
                <c:pt idx="361">
                  <c:v>441.48076400723971</c:v>
                </c:pt>
                <c:pt idx="362">
                  <c:v>444.04106959748941</c:v>
                </c:pt>
                <c:pt idx="363">
                  <c:v>446.60881314784081</c:v>
                </c:pt>
                <c:pt idx="364">
                  <c:v>449.18399560479753</c:v>
                </c:pt>
                <c:pt idx="365">
                  <c:v>451.76661788598454</c:v>
                </c:pt>
                <c:pt idx="366">
                  <c:v>454.35668088018673</c:v>
                </c:pt>
                <c:pt idx="367">
                  <c:v>456.95418544738828</c:v>
                </c:pt>
                <c:pt idx="368">
                  <c:v>459.55913241881296</c:v>
                </c:pt>
                <c:pt idx="369">
                  <c:v>462.17152259696473</c:v>
                </c:pt>
                <c:pt idx="370">
                  <c:v>464.79135675566948</c:v>
                </c:pt>
                <c:pt idx="371">
                  <c:v>467.41863564011715</c:v>
                </c:pt>
                <c:pt idx="372">
                  <c:v>470.05335996690474</c:v>
                </c:pt>
                <c:pt idx="373">
                  <c:v>472.69552771837709</c:v>
                </c:pt>
                <c:pt idx="374">
                  <c:v>475.34513414303802</c:v>
                </c:pt>
                <c:pt idx="375">
                  <c:v>478.00217446170257</c:v>
                </c:pt>
                <c:pt idx="376">
                  <c:v>480.66664386761801</c:v>
                </c:pt>
                <c:pt idx="377">
                  <c:v>483.33853752658592</c:v>
                </c:pt>
                <c:pt idx="378">
                  <c:v>486.01785057708435</c:v>
                </c:pt>
                <c:pt idx="379">
                  <c:v>488.70457813039098</c:v>
                </c:pt>
                <c:pt idx="380">
                  <c:v>491.39871527070659</c:v>
                </c:pt>
                <c:pt idx="381">
                  <c:v>494.10025705527931</c:v>
                </c:pt>
                <c:pt idx="382">
                  <c:v>496.80919851452944</c:v>
                </c:pt>
                <c:pt idx="383">
                  <c:v>499.52553465217483</c:v>
                </c:pt>
                <c:pt idx="384">
                  <c:v>502.24926044535664</c:v>
                </c:pt>
                <c:pt idx="385">
                  <c:v>504.98037084476618</c:v>
                </c:pt>
                <c:pt idx="386">
                  <c:v>507.71886077477166</c:v>
                </c:pt>
                <c:pt idx="387">
                  <c:v>510.46472513354604</c:v>
                </c:pt>
                <c:pt idx="388">
                  <c:v>513.21795879319507</c:v>
                </c:pt>
                <c:pt idx="389">
                  <c:v>515.97855659988625</c:v>
                </c:pt>
                <c:pt idx="390">
                  <c:v>518.7465133739779</c:v>
                </c:pt>
                <c:pt idx="391">
                  <c:v>521.52182391014901</c:v>
                </c:pt>
                <c:pt idx="392">
                  <c:v>524.30448297752969</c:v>
                </c:pt>
                <c:pt idx="393">
                  <c:v>527.09448531983196</c:v>
                </c:pt>
                <c:pt idx="394">
                  <c:v>529.89182565548128</c:v>
                </c:pt>
                <c:pt idx="395">
                  <c:v>532.6964986777482</c:v>
                </c:pt>
                <c:pt idx="396">
                  <c:v>535.50849905488099</c:v>
                </c:pt>
                <c:pt idx="397">
                  <c:v>538.3278214302386</c:v>
                </c:pt>
                <c:pt idx="398">
                  <c:v>541.15446042242388</c:v>
                </c:pt>
                <c:pt idx="399">
                  <c:v>543.9884106254176</c:v>
                </c:pt>
                <c:pt idx="400">
                  <c:v>546.82966660871284</c:v>
                </c:pt>
                <c:pt idx="401">
                  <c:v>549.67822291744983</c:v>
                </c:pt>
                <c:pt idx="402">
                  <c:v>552.53407407255133</c:v>
                </c:pt>
                <c:pt idx="403">
                  <c:v>555.39721457085841</c:v>
                </c:pt>
                <c:pt idx="404">
                  <c:v>558.26763888526659</c:v>
                </c:pt>
                <c:pt idx="405">
                  <c:v>561.1453414648629</c:v>
                </c:pt>
                <c:pt idx="406">
                  <c:v>564.0303167350628</c:v>
                </c:pt>
                <c:pt idx="407">
                  <c:v>566.92255909774769</c:v>
                </c:pt>
                <c:pt idx="408">
                  <c:v>569.82206293140325</c:v>
                </c:pt>
                <c:pt idx="409">
                  <c:v>572.72881953016315</c:v>
                </c:pt>
                <c:pt idx="410">
                  <c:v>575.6428163391414</c:v>
                </c:pt>
                <c:pt idx="411">
                  <c:v>578.56404001697092</c:v>
                </c:pt>
                <c:pt idx="412">
                  <c:v>581.49247720211542</c:v>
                </c:pt>
                <c:pt idx="413">
                  <c:v>584.42811451313173</c:v>
                </c:pt>
                <c:pt idx="414">
                  <c:v>587.3709385489326</c:v>
                </c:pt>
                <c:pt idx="415">
                  <c:v>590.32093588904911</c:v>
                </c:pt>
                <c:pt idx="416">
                  <c:v>593.27809309389295</c:v>
                </c:pt>
                <c:pt idx="417">
                  <c:v>596.24239670501879</c:v>
                </c:pt>
                <c:pt idx="418">
                  <c:v>599.21383324538624</c:v>
                </c:pt>
                <c:pt idx="419">
                  <c:v>602.19238921962199</c:v>
                </c:pt>
                <c:pt idx="420">
                  <c:v>605.17805111428163</c:v>
                </c:pt>
                <c:pt idx="421">
                  <c:v>608.1708053981115</c:v>
                </c:pt>
                <c:pt idx="422">
                  <c:v>611.17063852231001</c:v>
                </c:pt>
                <c:pt idx="423">
                  <c:v>614.17753692078929</c:v>
                </c:pt>
                <c:pt idx="424">
                  <c:v>617.19148701043616</c:v>
                </c:pt>
                <c:pt idx="425">
                  <c:v>620.21247519137319</c:v>
                </c:pt>
                <c:pt idx="426">
                  <c:v>623.24048784721958</c:v>
                </c:pt>
                <c:pt idx="427">
                  <c:v>626.27551134535156</c:v>
                </c:pt>
                <c:pt idx="428">
                  <c:v>629.31753203716289</c:v>
                </c:pt>
                <c:pt idx="429">
                  <c:v>632.36653625832491</c:v>
                </c:pt>
                <c:pt idx="430">
                  <c:v>635.42251032904619</c:v>
                </c:pt>
                <c:pt idx="431">
                  <c:v>638.48544055433229</c:v>
                </c:pt>
                <c:pt idx="432">
                  <c:v>641.55531322424508</c:v>
                </c:pt>
                <c:pt idx="433">
                  <c:v>644.63211461416165</c:v>
                </c:pt>
                <c:pt idx="434">
                  <c:v>647.71583098503299</c:v>
                </c:pt>
                <c:pt idx="435">
                  <c:v>650.80644858364246</c:v>
                </c:pt>
                <c:pt idx="436">
                  <c:v>653.90395364286383</c:v>
                </c:pt>
                <c:pt idx="437">
                  <c:v>657.00833238191899</c:v>
                </c:pt>
                <c:pt idx="438">
                  <c:v>660.1195710066354</c:v>
                </c:pt>
                <c:pt idx="439">
                  <c:v>663.23765570970318</c:v>
                </c:pt>
                <c:pt idx="440">
                  <c:v>666.36257267093174</c:v>
                </c:pt>
                <c:pt idx="441">
                  <c:v>669.49430805750615</c:v>
                </c:pt>
                <c:pt idx="442">
                  <c:v>672.63284802424289</c:v>
                </c:pt>
                <c:pt idx="443">
                  <c:v>675.77817871384559</c:v>
                </c:pt>
                <c:pt idx="444">
                  <c:v>678.93028625716022</c:v>
                </c:pt>
                <c:pt idx="445">
                  <c:v>682.08915677342952</c:v>
                </c:pt>
                <c:pt idx="446">
                  <c:v>685.25477637054757</c:v>
                </c:pt>
                <c:pt idx="447">
                  <c:v>688.42713114531364</c:v>
                </c:pt>
                <c:pt idx="448">
                  <c:v>691.60620718368534</c:v>
                </c:pt>
                <c:pt idx="449">
                  <c:v>694.79199056103187</c:v>
                </c:pt>
                <c:pt idx="450">
                  <c:v>697.98446734238644</c:v>
                </c:pt>
                <c:pt idx="451">
                  <c:v>701.18362358269826</c:v>
                </c:pt>
                <c:pt idx="452">
                  <c:v>704.38944532708422</c:v>
                </c:pt>
                <c:pt idx="453">
                  <c:v>707.60191861107967</c:v>
                </c:pt>
                <c:pt idx="454">
                  <c:v>710.82102946088935</c:v>
                </c:pt>
                <c:pt idx="455">
                  <c:v>714.04676389363703</c:v>
                </c:pt>
                <c:pt idx="456">
                  <c:v>717.27910791761542</c:v>
                </c:pt>
                <c:pt idx="457">
                  <c:v>720.51804753253498</c:v>
                </c:pt>
                <c:pt idx="458">
                  <c:v>723.76356872977237</c:v>
                </c:pt>
                <c:pt idx="459">
                  <c:v>727.01565749261829</c:v>
                </c:pt>
                <c:pt idx="460">
                  <c:v>730.27429979652504</c:v>
                </c:pt>
                <c:pt idx="461">
                  <c:v>733.53948160935317</c:v>
                </c:pt>
                <c:pt idx="462">
                  <c:v>736.81118889161769</c:v>
                </c:pt>
                <c:pt idx="463">
                  <c:v>740.08940759673385</c:v>
                </c:pt>
                <c:pt idx="464">
                  <c:v>743.37412367126205</c:v>
                </c:pt>
                <c:pt idx="465">
                  <c:v>746.66532305515216</c:v>
                </c:pt>
                <c:pt idx="466">
                  <c:v>749.96299168198766</c:v>
                </c:pt>
                <c:pt idx="467">
                  <c:v>753.26711547922866</c:v>
                </c:pt>
                <c:pt idx="468">
                  <c:v>756.57768036845459</c:v>
                </c:pt>
                <c:pt idx="469">
                  <c:v>759.89467226560612</c:v>
                </c:pt>
                <c:pt idx="470">
                  <c:v>763.21807708122628</c:v>
                </c:pt>
                <c:pt idx="471">
                  <c:v>766.54788072070153</c:v>
                </c:pt>
                <c:pt idx="472">
                  <c:v>769.88406908450156</c:v>
                </c:pt>
                <c:pt idx="473">
                  <c:v>773.22662806841856</c:v>
                </c:pt>
                <c:pt idx="474">
                  <c:v>776.57554356380604</c:v>
                </c:pt>
                <c:pt idx="475">
                  <c:v>779.93080145781676</c:v>
                </c:pt>
                <c:pt idx="476">
                  <c:v>783.29238763364003</c:v>
                </c:pt>
                <c:pt idx="477">
                  <c:v>786.6602879707383</c:v>
                </c:pt>
                <c:pt idx="478">
                  <c:v>790.03448834508322</c:v>
                </c:pt>
                <c:pt idx="479">
                  <c:v>793.4149746293906</c:v>
                </c:pt>
                <c:pt idx="480">
                  <c:v>796.80173269335512</c:v>
                </c:pt>
                <c:pt idx="481">
                  <c:v>800.19474840388386</c:v>
                </c:pt>
                <c:pt idx="482">
                  <c:v>803.59400762532948</c:v>
                </c:pt>
                <c:pt idx="483">
                  <c:v>806.99949621972257</c:v>
                </c:pt>
                <c:pt idx="484">
                  <c:v>810.41120004700292</c:v>
                </c:pt>
                <c:pt idx="485">
                  <c:v>813.82910496525051</c:v>
                </c:pt>
                <c:pt idx="486">
                  <c:v>817.2531968309155</c:v>
                </c:pt>
                <c:pt idx="487">
                  <c:v>820.68346149904744</c:v>
                </c:pt>
                <c:pt idx="488">
                  <c:v>824.11988482352376</c:v>
                </c:pt>
                <c:pt idx="489">
                  <c:v>827.5624526572775</c:v>
                </c:pt>
                <c:pt idx="490">
                  <c:v>831.01115085252411</c:v>
                </c:pt>
                <c:pt idx="491">
                  <c:v>834.46596526098767</c:v>
                </c:pt>
                <c:pt idx="492">
                  <c:v>837.92688173412637</c:v>
                </c:pt>
                <c:pt idx="493">
                  <c:v>841.39388612335665</c:v>
                </c:pt>
                <c:pt idx="494">
                  <c:v>844.86696428027733</c:v>
                </c:pt>
                <c:pt idx="495">
                  <c:v>848.34610205689194</c:v>
                </c:pt>
                <c:pt idx="496">
                  <c:v>851.83128530583144</c:v>
                </c:pt>
                <c:pt idx="497">
                  <c:v>855.32249889427737</c:v>
                </c:pt>
                <c:pt idx="498">
                  <c:v>858.81972571805409</c:v>
                </c:pt>
                <c:pt idx="499">
                  <c:v>862.32294768994632</c:v>
                </c:pt>
                <c:pt idx="500">
                  <c:v>865.83214672787699</c:v>
                </c:pt>
                <c:pt idx="501">
                  <c:v>869.3473047551829</c:v>
                </c:pt>
                <c:pt idx="502">
                  <c:v>872.86840370088896</c:v>
                </c:pt>
                <c:pt idx="503">
                  <c:v>876.39542549998146</c:v>
                </c:pt>
                <c:pt idx="504">
                  <c:v>879.92835209367956</c:v>
                </c:pt>
                <c:pt idx="505">
                  <c:v>883.46716542970603</c:v>
                </c:pt>
                <c:pt idx="506">
                  <c:v>887.01184746255592</c:v>
                </c:pt>
                <c:pt idx="507">
                  <c:v>890.56238015376402</c:v>
                </c:pt>
                <c:pt idx="508">
                  <c:v>894.11874547217155</c:v>
                </c:pt>
                <c:pt idx="509">
                  <c:v>897.68092539419058</c:v>
                </c:pt>
                <c:pt idx="510">
                  <c:v>901.24890190406768</c:v>
                </c:pt>
                <c:pt idx="511">
                  <c:v>904.82265699414586</c:v>
                </c:pt>
                <c:pt idx="512">
                  <c:v>908.40217266512525</c:v>
                </c:pt>
                <c:pt idx="513">
                  <c:v>911.9874309263223</c:v>
                </c:pt>
                <c:pt idx="514">
                  <c:v>915.57841379592753</c:v>
                </c:pt>
                <c:pt idx="515">
                  <c:v>919.1751033012622</c:v>
                </c:pt>
                <c:pt idx="516">
                  <c:v>922.77748147903287</c:v>
                </c:pt>
                <c:pt idx="517">
                  <c:v>926.38553037558529</c:v>
                </c:pt>
                <c:pt idx="518">
                  <c:v>929.99923204715628</c:v>
                </c:pt>
                <c:pt idx="519">
                  <c:v>933.61856856012434</c:v>
                </c:pt>
                <c:pt idx="520">
                  <c:v>937.24352199125929</c:v>
                </c:pt>
                <c:pt idx="521">
                  <c:v>940.87407442796939</c:v>
                </c:pt>
                <c:pt idx="522">
                  <c:v>944.51020796854823</c:v>
                </c:pt>
                <c:pt idx="523">
                  <c:v>948.15190472241943</c:v>
                </c:pt>
                <c:pt idx="524">
                  <c:v>951.79914681037974</c:v>
                </c:pt>
                <c:pt idx="525">
                  <c:v>955.45191636484151</c:v>
                </c:pt>
                <c:pt idx="526">
                  <c:v>959.1101955300727</c:v>
                </c:pt>
                <c:pt idx="527">
                  <c:v>962.77396646243608</c:v>
                </c:pt>
                <c:pt idx="528">
                  <c:v>966.44321133062681</c:v>
                </c:pt>
                <c:pt idx="529">
                  <c:v>970.11791231590848</c:v>
                </c:pt>
                <c:pt idx="530">
                  <c:v>973.79805161234765</c:v>
                </c:pt>
                <c:pt idx="531">
                  <c:v>977.48361142704675</c:v>
                </c:pt>
                <c:pt idx="532">
                  <c:v>981.17457398037595</c:v>
                </c:pt>
                <c:pt idx="533">
                  <c:v>984.8709215062031</c:v>
                </c:pt>
                <c:pt idx="534">
                  <c:v>988.57263625212261</c:v>
                </c:pt>
                <c:pt idx="535">
                  <c:v>992.27970047968222</c:v>
                </c:pt>
                <c:pt idx="536">
                  <c:v>995.99209646460884</c:v>
                </c:pt>
                <c:pt idx="537">
                  <c:v>999.70980649703267</c:v>
                </c:pt>
                <c:pt idx="538">
                  <c:v>1003.4328128817098</c:v>
                </c:pt>
                <c:pt idx="539">
                  <c:v>1007.1610979382432</c:v>
                </c:pt>
                <c:pt idx="540">
                  <c:v>1010.8946440013026</c:v>
                </c:pt>
                <c:pt idx="541">
                  <c:v>1014.6334334208424</c:v>
                </c:pt>
                <c:pt idx="542">
                  <c:v>1018.3774485623182</c:v>
                </c:pt>
                <c:pt idx="543">
                  <c:v>1022.1266718069024</c:v>
                </c:pt>
                <c:pt idx="544">
                  <c:v>1025.881085551697</c:v>
                </c:pt>
                <c:pt idx="545">
                  <c:v>1029.6406722099459</c:v>
                </c:pt>
                <c:pt idx="546">
                  <c:v>1033.4054142112461</c:v>
                </c:pt>
                <c:pt idx="547">
                  <c:v>1037.1752940017561</c:v>
                </c:pt>
                <c:pt idx="548">
                  <c:v>1040.9502940444031</c:v>
                </c:pt>
                <c:pt idx="549">
                  <c:v>1044.7303968190897</c:v>
                </c:pt>
                <c:pt idx="550">
                  <c:v>1048.5155841551907</c:v>
                </c:pt>
                <c:pt idx="551">
                  <c:v>1052.3058356734639</c:v>
                </c:pt>
                <c:pt idx="552">
                  <c:v>1056.101129456782</c:v>
                </c:pt>
                <c:pt idx="553">
                  <c:v>1059.901443611476</c:v>
                </c:pt>
                <c:pt idx="554">
                  <c:v>1063.7067562675916</c:v>
                </c:pt>
                <c:pt idx="555">
                  <c:v>1067.5170455791435</c:v>
                </c:pt>
                <c:pt idx="556">
                  <c:v>1071.3322897243679</c:v>
                </c:pt>
                <c:pt idx="557">
                  <c:v>1075.1524669059713</c:v>
                </c:pt>
                <c:pt idx="558">
                  <c:v>1078.9775553513787</c:v>
                </c:pt>
                <c:pt idx="559">
                  <c:v>1082.8075333129789</c:v>
                </c:pt>
                <c:pt idx="560">
                  <c:v>1086.6423790683671</c:v>
                </c:pt>
                <c:pt idx="561">
                  <c:v>1090.4820709205869</c:v>
                </c:pt>
                <c:pt idx="562">
                  <c:v>1094.3265871983681</c:v>
                </c:pt>
                <c:pt idx="563">
                  <c:v>1098.1759062563633</c:v>
                </c:pt>
                <c:pt idx="564">
                  <c:v>1102.0300064753831</c:v>
                </c:pt>
                <c:pt idx="565">
                  <c:v>1105.8888662626268</c:v>
                </c:pt>
                <c:pt idx="566">
                  <c:v>1109.7524640519139</c:v>
                </c:pt>
                <c:pt idx="567">
                  <c:v>1113.6207783039104</c:v>
                </c:pt>
                <c:pt idx="568">
                  <c:v>1117.4937875063551</c:v>
                </c:pt>
                <c:pt idx="569">
                  <c:v>1121.3714701742833</c:v>
                </c:pt>
                <c:pt idx="570">
                  <c:v>1125.253804850247</c:v>
                </c:pt>
                <c:pt idx="571">
                  <c:v>1129.1407701045343</c:v>
                </c:pt>
                <c:pt idx="572">
                  <c:v>1133.0323445353863</c:v>
                </c:pt>
                <c:pt idx="573">
                  <c:v>1136.9285067692117</c:v>
                </c:pt>
                <c:pt idx="574">
                  <c:v>1140.8292354607991</c:v>
                </c:pt>
                <c:pt idx="575">
                  <c:v>1144.734509293527</c:v>
                </c:pt>
                <c:pt idx="576">
                  <c:v>1148.6443069795723</c:v>
                </c:pt>
                <c:pt idx="577">
                  <c:v>1152.5586072601161</c:v>
                </c:pt>
                <c:pt idx="578">
                  <c:v>1156.4773889055473</c:v>
                </c:pt>
                <c:pt idx="579">
                  <c:v>1160.400630715664</c:v>
                </c:pt>
                <c:pt idx="580">
                  <c:v>1164.3283115198733</c:v>
                </c:pt>
                <c:pt idx="581">
                  <c:v>1168.2604101773886</c:v>
                </c:pt>
                <c:pt idx="582">
                  <c:v>1172.1969055774241</c:v>
                </c:pt>
                <c:pt idx="583">
                  <c:v>1176.1377766393882</c:v>
                </c:pt>
                <c:pt idx="584">
                  <c:v>1180.0830023130745</c:v>
                </c:pt>
                <c:pt idx="585">
                  <c:v>1184.0325615788502</c:v>
                </c:pt>
                <c:pt idx="586">
                  <c:v>1187.9864334478423</c:v>
                </c:pt>
                <c:pt idx="587">
                  <c:v>1191.9445969621229</c:v>
                </c:pt>
                <c:pt idx="588">
                  <c:v>1195.9070311948908</c:v>
                </c:pt>
                <c:pt idx="589">
                  <c:v>1199.8737152506517</c:v>
                </c:pt>
                <c:pt idx="590">
                  <c:v>1203.8446282653968</c:v>
                </c:pt>
                <c:pt idx="591">
                  <c:v>1207.8197494067781</c:v>
                </c:pt>
                <c:pt idx="592">
                  <c:v>1211.7990578742827</c:v>
                </c:pt>
                <c:pt idx="593">
                  <c:v>1215.7825328994043</c:v>
                </c:pt>
                <c:pt idx="594">
                  <c:v>1219.7701537458129</c:v>
                </c:pt>
                <c:pt idx="595">
                  <c:v>1223.7618997095224</c:v>
                </c:pt>
                <c:pt idx="596">
                  <c:v>1227.757750119056</c:v>
                </c:pt>
                <c:pt idx="597">
                  <c:v>1231.7576843356101</c:v>
                </c:pt>
                <c:pt idx="598">
                  <c:v>1235.7616817532146</c:v>
                </c:pt>
                <c:pt idx="599">
                  <c:v>1239.7697217988934</c:v>
                </c:pt>
                <c:pt idx="600">
                  <c:v>1243.7817839328206</c:v>
                </c:pt>
                <c:pt idx="601">
                  <c:v>1247.7978476484764</c:v>
                </c:pt>
                <c:pt idx="602">
                  <c:v>1251.8178924727995</c:v>
                </c:pt>
                <c:pt idx="603">
                  <c:v>1255.841897966339</c:v>
                </c:pt>
                <c:pt idx="604">
                  <c:v>1259.8698437234027</c:v>
                </c:pt>
                <c:pt idx="605">
                  <c:v>1263.9017093722046</c:v>
                </c:pt>
                <c:pt idx="606">
                  <c:v>1267.9374745750094</c:v>
                </c:pt>
                <c:pt idx="607">
                  <c:v>1271.9771190282763</c:v>
                </c:pt>
                <c:pt idx="608">
                  <c:v>1276.0206224627989</c:v>
                </c:pt>
                <c:pt idx="609">
                  <c:v>1280.067964643845</c:v>
                </c:pt>
                <c:pt idx="610">
                  <c:v>1284.1191253712932</c:v>
                </c:pt>
                <c:pt idx="611">
                  <c:v>1288.1740844797682</c:v>
                </c:pt>
                <c:pt idx="612">
                  <c:v>1292.2328159011945</c:v>
                </c:pt>
                <c:pt idx="613">
                  <c:v>1296.2952876749196</c:v>
                </c:pt>
                <c:pt idx="614">
                  <c:v>1300.3614678954825</c:v>
                </c:pt>
                <c:pt idx="615">
                  <c:v>1304.4313247128759</c:v>
                </c:pt>
                <c:pt idx="616">
                  <c:v>1308.5048263328038</c:v>
                </c:pt>
                <c:pt idx="617">
                  <c:v>1312.5819410169356</c:v>
                </c:pt>
                <c:pt idx="618">
                  <c:v>1316.6626370831552</c:v>
                </c:pt>
                <c:pt idx="619">
                  <c:v>1320.7468829058062</c:v>
                </c:pt>
                <c:pt idx="620">
                  <c:v>1324.8346469159328</c:v>
                </c:pt>
                <c:pt idx="621">
                  <c:v>1328.9258976015165</c:v>
                </c:pt>
                <c:pt idx="622">
                  <c:v>1333.0206035077085</c:v>
                </c:pt>
                <c:pt idx="623">
                  <c:v>1337.1187332370578</c:v>
                </c:pt>
                <c:pt idx="624">
                  <c:v>1341.2202554497353</c:v>
                </c:pt>
                <c:pt idx="625">
                  <c:v>1345.3251388637539</c:v>
                </c:pt>
                <c:pt idx="626">
                  <c:v>1349.433352255184</c:v>
                </c:pt>
                <c:pt idx="627">
                  <c:v>1353.5448644583653</c:v>
                </c:pt>
                <c:pt idx="628">
                  <c:v>1357.6596443661144</c:v>
                </c:pt>
                <c:pt idx="629">
                  <c:v>1361.7776609299278</c:v>
                </c:pt>
                <c:pt idx="630">
                  <c:v>1365.8988831601821</c:v>
                </c:pt>
                <c:pt idx="631">
                  <c:v>1370.0232801263282</c:v>
                </c:pt>
                <c:pt idx="632">
                  <c:v>1374.1508209570841</c:v>
                </c:pt>
                <c:pt idx="633">
                  <c:v>1378.2814748406211</c:v>
                </c:pt>
                <c:pt idx="634">
                  <c:v>1382.4152110247474</c:v>
                </c:pt>
                <c:pt idx="635">
                  <c:v>1386.5519988170877</c:v>
                </c:pt>
                <c:pt idx="636">
                  <c:v>1390.6918075852589</c:v>
                </c:pt>
                <c:pt idx="637">
                  <c:v>1394.8346067570405</c:v>
                </c:pt>
                <c:pt idx="638">
                  <c:v>1398.980365820544</c:v>
                </c:pt>
                <c:pt idx="639">
                  <c:v>1403.1290543243749</c:v>
                </c:pt>
                <c:pt idx="640">
                  <c:v>1407.2806418777936</c:v>
                </c:pt>
                <c:pt idx="641">
                  <c:v>1411.4350981508712</c:v>
                </c:pt>
                <c:pt idx="642">
                  <c:v>1415.592392874642</c:v>
                </c:pt>
                <c:pt idx="643">
                  <c:v>1419.7524958412516</c:v>
                </c:pt>
                <c:pt idx="644">
                  <c:v>1423.9153769041015</c:v>
                </c:pt>
                <c:pt idx="645">
                  <c:v>1428.0810059779908</c:v>
                </c:pt>
                <c:pt idx="646">
                  <c:v>1432.2493365822081</c:v>
                </c:pt>
                <c:pt idx="647">
                  <c:v>1436.4203040432988</c:v>
                </c:pt>
                <c:pt idx="648">
                  <c:v>1440.593841988584</c:v>
                </c:pt>
                <c:pt idx="649">
                  <c:v>1444.7698841802992</c:v>
                </c:pt>
                <c:pt idx="650">
                  <c:v>1448.9483645163125</c:v>
                </c:pt>
                <c:pt idx="651">
                  <c:v>1453.1292170308272</c:v>
                </c:pt>
                <c:pt idx="652">
                  <c:v>1457.3123758950676</c:v>
                </c:pt>
                <c:pt idx="653">
                  <c:v>1461.4977754179488</c:v>
                </c:pt>
                <c:pt idx="654">
                  <c:v>1465.6853500467309</c:v>
                </c:pt>
                <c:pt idx="655">
                  <c:v>1469.8750343676566</c:v>
                </c:pt>
                <c:pt idx="656">
                  <c:v>1474.0667631065728</c:v>
                </c:pt>
                <c:pt idx="657">
                  <c:v>1478.2604711295382</c:v>
                </c:pt>
                <c:pt idx="658">
                  <c:v>1482.456093443413</c:v>
                </c:pt>
                <c:pt idx="659">
                  <c:v>1486.6535651964339</c:v>
                </c:pt>
                <c:pt idx="660">
                  <c:v>1490.8528216787743</c:v>
                </c:pt>
                <c:pt idx="661">
                  <c:v>1495.0537983230879</c:v>
                </c:pt>
                <c:pt idx="662">
                  <c:v>1499.2564307050384</c:v>
                </c:pt>
                <c:pt idx="663">
                  <c:v>1503.4606545438126</c:v>
                </c:pt>
                <c:pt idx="664">
                  <c:v>1507.6664057026198</c:v>
                </c:pt>
                <c:pt idx="665">
                  <c:v>1511.8736201891752</c:v>
                </c:pt>
                <c:pt idx="666">
                  <c:v>1516.0821992991389</c:v>
                </c:pt>
                <c:pt idx="667">
                  <c:v>1520.292000976702</c:v>
                </c:pt>
                <c:pt idx="668">
                  <c:v>1524.5028747730146</c:v>
                </c:pt>
                <c:pt idx="669">
                  <c:v>1528.7146705889572</c:v>
                </c:pt>
                <c:pt idx="670">
                  <c:v>1532.9272386785649</c:v>
                </c:pt>
                <c:pt idx="671">
                  <c:v>1537.1404296523685</c:v>
                </c:pt>
                <c:pt idx="672">
                  <c:v>1541.3540944806548</c:v>
                </c:pt>
                <c:pt idx="673">
                  <c:v>1545.5680844966464</c:v>
                </c:pt>
                <c:pt idx="674">
                  <c:v>1549.7822513996</c:v>
                </c:pt>
                <c:pt idx="675">
                  <c:v>1553.9964472578258</c:v>
                </c:pt>
                <c:pt idx="676">
                  <c:v>1558.2105245116265</c:v>
                </c:pt>
                <c:pt idx="677">
                  <c:v>1562.4243359761572</c:v>
                </c:pt>
                <c:pt idx="678">
                  <c:v>1566.6377348442065</c:v>
                </c:pt>
                <c:pt idx="679">
                  <c:v>1570.8505746889007</c:v>
                </c:pt>
                <c:pt idx="680">
                  <c:v>1575.0627094663278</c:v>
                </c:pt>
                <c:pt idx="681">
                  <c:v>1579.2739935180871</c:v>
                </c:pt>
                <c:pt idx="682">
                  <c:v>1583.4842815737602</c:v>
                </c:pt>
                <c:pt idx="683">
                  <c:v>1587.6934287533063</c:v>
                </c:pt>
                <c:pt idx="684">
                  <c:v>1591.9012905693828</c:v>
                </c:pt>
                <c:pt idx="685">
                  <c:v>1596.1077229295893</c:v>
                </c:pt>
                <c:pt idx="686">
                  <c:v>1600.3125821386388</c:v>
                </c:pt>
                <c:pt idx="687">
                  <c:v>1604.515724900454</c:v>
                </c:pt>
                <c:pt idx="688">
                  <c:v>1608.7170083201902</c:v>
                </c:pt>
                <c:pt idx="689">
                  <c:v>1612.9162899061864</c:v>
                </c:pt>
                <c:pt idx="690">
                  <c:v>1617.1134275718439</c:v>
                </c:pt>
                <c:pt idx="691">
                  <c:v>1621.3082796374324</c:v>
                </c:pt>
                <c:pt idx="692">
                  <c:v>1625.5007048318271</c:v>
                </c:pt>
                <c:pt idx="693">
                  <c:v>1629.6905622941738</c:v>
                </c:pt>
                <c:pt idx="694">
                  <c:v>1633.8777115754863</c:v>
                </c:pt>
                <c:pt idx="695">
                  <c:v>1638.0620126401725</c:v>
                </c:pt>
                <c:pt idx="696">
                  <c:v>1642.2433258674946</c:v>
                </c:pt>
                <c:pt idx="697">
                  <c:v>1646.4215120529598</c:v>
                </c:pt>
                <c:pt idx="698">
                  <c:v>1650.5964324096451</c:v>
                </c:pt>
                <c:pt idx="699">
                  <c:v>1654.7679485694553</c:v>
                </c:pt>
                <c:pt idx="700">
                  <c:v>1658.9359225843154</c:v>
                </c:pt>
                <c:pt idx="701">
                  <c:v>1663.1002169272988</c:v>
                </c:pt>
                <c:pt idx="702">
                  <c:v>1667.2606944936897</c:v>
                </c:pt>
                <c:pt idx="703">
                  <c:v>1671.4172186019837</c:v>
                </c:pt>
                <c:pt idx="704">
                  <c:v>1675.5696529948236</c:v>
                </c:pt>
                <c:pt idx="705">
                  <c:v>1679.7178618398755</c:v>
                </c:pt>
                <c:pt idx="706">
                  <c:v>1683.8617097306403</c:v>
                </c:pt>
                <c:pt idx="707">
                  <c:v>1688.0010616872073</c:v>
                </c:pt>
                <c:pt idx="708">
                  <c:v>1692.1357822127266</c:v>
                </c:pt>
                <c:pt idx="709">
                  <c:v>1696.2657267977622</c:v>
                </c:pt>
                <c:pt idx="710">
                  <c:v>1700.3907428978966</c:v>
                </c:pt>
                <c:pt idx="711">
                  <c:v>1704.5106784636366</c:v>
                </c:pt>
                <c:pt idx="712">
                  <c:v>1708.6253819414571</c:v>
                </c:pt>
                <c:pt idx="713">
                  <c:v>1712.7347022747686</c:v>
                </c:pt>
                <c:pt idx="714">
                  <c:v>1716.8384889048079</c:v>
                </c:pt>
                <c:pt idx="715">
                  <c:v>1720.9365917714547</c:v>
                </c:pt>
                <c:pt idx="716">
                  <c:v>1725.0288613139726</c:v>
                </c:pt>
                <c:pt idx="717">
                  <c:v>1729.1151484716786</c:v>
                </c:pt>
                <c:pt idx="718">
                  <c:v>1733.1953046845385</c:v>
                </c:pt>
                <c:pt idx="719">
                  <c:v>1737.2691818936921</c:v>
                </c:pt>
                <c:pt idx="720">
                  <c:v>1741.3366325419074</c:v>
                </c:pt>
                <c:pt idx="721">
                  <c:v>1745.3975095739654</c:v>
                </c:pt>
                <c:pt idx="722">
                  <c:v>1749.4516664369769</c:v>
                </c:pt>
                <c:pt idx="723">
                  <c:v>1753.4989570806304</c:v>
                </c:pt>
                <c:pt idx="724">
                  <c:v>1757.5392359573743</c:v>
                </c:pt>
                <c:pt idx="725">
                  <c:v>1761.5722381298976</c:v>
                </c:pt>
                <c:pt idx="726">
                  <c:v>1765.5975283828532</c:v>
                </c:pt>
                <c:pt idx="727">
                  <c:v>1769.6148788286596</c:v>
                </c:pt>
                <c:pt idx="728">
                  <c:v>1773.6243194517308</c:v>
                </c:pt>
                <c:pt idx="729">
                  <c:v>1777.6258800519868</c:v>
                </c:pt>
                <c:pt idx="730">
                  <c:v>1781.6195902463794</c:v>
                </c:pt>
                <c:pt idx="731">
                  <c:v>1785.6054794704039</c:v>
                </c:pt>
                <c:pt idx="732">
                  <c:v>1789.5835769795935</c:v>
                </c:pt>
                <c:pt idx="733">
                  <c:v>1793.5539118509996</c:v>
                </c:pt>
                <c:pt idx="734">
                  <c:v>1797.5165129846557</c:v>
                </c:pt>
                <c:pt idx="735">
                  <c:v>1801.4714091050266</c:v>
                </c:pt>
                <c:pt idx="736">
                  <c:v>1805.4186287624429</c:v>
                </c:pt>
                <c:pt idx="737">
                  <c:v>1809.3582003345207</c:v>
                </c:pt>
                <c:pt idx="738">
                  <c:v>1813.2901520275661</c:v>
                </c:pt>
                <c:pt idx="739">
                  <c:v>1817.2145118779667</c:v>
                </c:pt>
                <c:pt idx="740">
                  <c:v>1821.1313077535674</c:v>
                </c:pt>
                <c:pt idx="741">
                  <c:v>1825.0405673550333</c:v>
                </c:pt>
                <c:pt idx="742">
                  <c:v>1828.9423182171979</c:v>
                </c:pt>
                <c:pt idx="743">
                  <c:v>1832.8365877103984</c:v>
                </c:pt>
                <c:pt idx="744">
                  <c:v>1836.7234030417969</c:v>
                </c:pt>
                <c:pt idx="745">
                  <c:v>1840.6027912566888</c:v>
                </c:pt>
                <c:pt idx="746">
                  <c:v>1844.4747792397973</c:v>
                </c:pt>
                <c:pt idx="747">
                  <c:v>1848.3393937165556</c:v>
                </c:pt>
                <c:pt idx="748">
                  <c:v>1852.1966612543758</c:v>
                </c:pt>
                <c:pt idx="749">
                  <c:v>1856.0466082639052</c:v>
                </c:pt>
                <c:pt idx="750">
                  <c:v>1859.8892610002699</c:v>
                </c:pt>
                <c:pt idx="751">
                  <c:v>1863.7246455643065</c:v>
                </c:pt>
                <c:pt idx="752">
                  <c:v>1867.5527879037809</c:v>
                </c:pt>
                <c:pt idx="753">
                  <c:v>1871.3737138145955</c:v>
                </c:pt>
                <c:pt idx="754">
                  <c:v>1875.187448941984</c:v>
                </c:pt>
                <c:pt idx="755">
                  <c:v>1878.9940187816949</c:v>
                </c:pt>
                <c:pt idx="756">
                  <c:v>1882.7934486811625</c:v>
                </c:pt>
                <c:pt idx="757">
                  <c:v>1886.5857638406674</c:v>
                </c:pt>
                <c:pt idx="758">
                  <c:v>1890.3709893144846</c:v>
                </c:pt>
                <c:pt idx="759">
                  <c:v>1894.1491500120212</c:v>
                </c:pt>
                <c:pt idx="760">
                  <c:v>1897.9202706989424</c:v>
                </c:pt>
                <c:pt idx="761">
                  <c:v>1901.6843759982867</c:v>
                </c:pt>
                <c:pt idx="762">
                  <c:v>1905.4414903915695</c:v>
                </c:pt>
                <c:pt idx="763">
                  <c:v>1909.1916382198779</c:v>
                </c:pt>
                <c:pt idx="764">
                  <c:v>1912.9348436849527</c:v>
                </c:pt>
                <c:pt idx="765">
                  <c:v>1916.6711308502611</c:v>
                </c:pt>
                <c:pt idx="766">
                  <c:v>1920.4005236420583</c:v>
                </c:pt>
                <c:pt idx="767">
                  <c:v>1924.1230458504399</c:v>
                </c:pt>
                <c:pt idx="768">
                  <c:v>1927.8387211303832</c:v>
                </c:pt>
                <c:pt idx="769">
                  <c:v>1931.5475730027786</c:v>
                </c:pt>
                <c:pt idx="770">
                  <c:v>1935.2496248554519</c:v>
                </c:pt>
                <c:pt idx="771">
                  <c:v>1938.9448999441754</c:v>
                </c:pt>
                <c:pt idx="772">
                  <c:v>1942.6334213936709</c:v>
                </c:pt>
                <c:pt idx="773">
                  <c:v>1946.3152121986022</c:v>
                </c:pt>
                <c:pt idx="774">
                  <c:v>1949.9902952245577</c:v>
                </c:pt>
                <c:pt idx="775">
                  <c:v>1953.6586932090252</c:v>
                </c:pt>
                <c:pt idx="776">
                  <c:v>1957.320428762356</c:v>
                </c:pt>
                <c:pt idx="777">
                  <c:v>1960.9755243687202</c:v>
                </c:pt>
                <c:pt idx="778">
                  <c:v>1964.6240023870541</c:v>
                </c:pt>
                <c:pt idx="779">
                  <c:v>1968.2658850519965</c:v>
                </c:pt>
                <c:pt idx="780">
                  <c:v>1971.9011944748181</c:v>
                </c:pt>
                <c:pt idx="781">
                  <c:v>1975.5299526443418</c:v>
                </c:pt>
                <c:pt idx="782">
                  <c:v>1979.1521814278535</c:v>
                </c:pt>
                <c:pt idx="783">
                  <c:v>1982.7679025720051</c:v>
                </c:pt>
                <c:pt idx="784">
                  <c:v>1986.377137703709</c:v>
                </c:pt>
                <c:pt idx="785">
                  <c:v>1989.9799083310238</c:v>
                </c:pt>
                <c:pt idx="786">
                  <c:v>1993.5762358440329</c:v>
                </c:pt>
                <c:pt idx="787">
                  <c:v>1997.1661415157134</c:v>
                </c:pt>
                <c:pt idx="788">
                  <c:v>2000.749646502798</c:v>
                </c:pt>
                <c:pt idx="789">
                  <c:v>2004.3267718466284</c:v>
                </c:pt>
                <c:pt idx="790">
                  <c:v>2007.8975384740017</c:v>
                </c:pt>
                <c:pt idx="791">
                  <c:v>2011.4619671980076</c:v>
                </c:pt>
                <c:pt idx="792">
                  <c:v>2015.0200787188592</c:v>
                </c:pt>
                <c:pt idx="793">
                  <c:v>2018.5718936247149</c:v>
                </c:pt>
                <c:pt idx="794">
                  <c:v>2022.1174323924945</c:v>
                </c:pt>
                <c:pt idx="795">
                  <c:v>2025.6567153886858</c:v>
                </c:pt>
                <c:pt idx="796">
                  <c:v>2029.1897628701458</c:v>
                </c:pt>
                <c:pt idx="797">
                  <c:v>2032.7165949848929</c:v>
                </c:pt>
                <c:pt idx="798">
                  <c:v>2036.237231772893</c:v>
                </c:pt>
                <c:pt idx="799">
                  <c:v>2039.7516931668379</c:v>
                </c:pt>
                <c:pt idx="800">
                  <c:v>2043.2599989929172</c:v>
                </c:pt>
                <c:pt idx="801">
                  <c:v>2078.0060281708388</c:v>
                </c:pt>
                <c:pt idx="802">
                  <c:v>2112.1491323008649</c:v>
                </c:pt>
                <c:pt idx="803">
                  <c:v>2145.7081616910705</c:v>
                </c:pt>
                <c:pt idx="804">
                  <c:v>2178.7009966273408</c:v>
                </c:pt>
                <c:pt idx="805">
                  <c:v>2211.1446135806937</c:v>
                </c:pt>
                <c:pt idx="806">
                  <c:v>2243.0551458048767</c:v>
                </c:pt>
                <c:pt idx="807">
                  <c:v>2274.4479388887657</c:v>
                </c:pt>
                <c:pt idx="808">
                  <c:v>2305.3376017625756</c:v>
                </c:pt>
                <c:pt idx="809">
                  <c:v>2335.7380535999819</c:v>
                </c:pt>
                <c:pt idx="810">
                  <c:v>2365.6625670086482</c:v>
                </c:pt>
                <c:pt idx="811">
                  <c:v>2395.1238078583497</c:v>
                </c:pt>
                <c:pt idx="812">
                  <c:v>2424.1338720579597</c:v>
                </c:pt>
                <c:pt idx="813">
                  <c:v>2452.7043195593083</c:v>
                </c:pt>
                <c:pt idx="814">
                  <c:v>2480.8462058366677</c:v>
                </c:pt>
                <c:pt idx="815">
                  <c:v>2508.5701110648524</c:v>
                </c:pt>
                <c:pt idx="816">
                  <c:v>2535.8861671961658</c:v>
                </c:pt>
                <c:pt idx="817">
                  <c:v>2562.8040831162975</c:v>
                </c:pt>
                <c:pt idx="818">
                  <c:v>2589.3331680414367</c:v>
                </c:pt>
                <c:pt idx="819">
                  <c:v>2615.4823533030199</c:v>
                </c:pt>
                <c:pt idx="820">
                  <c:v>2641.2602126524462</c:v>
                </c:pt>
                <c:pt idx="821">
                  <c:v>2666.6749812055318</c:v>
                </c:pt>
                <c:pt idx="822">
                  <c:v>2691.7345731352621</c:v>
                </c:pt>
                <c:pt idx="823">
                  <c:v>2716.446598211387</c:v>
                </c:pt>
                <c:pt idx="824">
                  <c:v>2740.8183772764237</c:v>
                </c:pt>
                <c:pt idx="825">
                  <c:v>2764.856956739583</c:v>
                </c:pt>
                <c:pt idx="826">
                  <c:v>2788.5691221629049</c:v>
                </c:pt>
                <c:pt idx="827">
                  <c:v>2811.9614110073899</c:v>
                </c:pt>
                <c:pt idx="828">
                  <c:v>2835.040124601046</c:v>
                </c:pt>
                <c:pt idx="829">
                  <c:v>2857.8113393854924</c:v>
                </c:pt>
                <c:pt idx="830">
                  <c:v>2880.280917492983</c:v>
                </c:pt>
                <c:pt idx="831">
                  <c:v>2902.4545167013976</c:v>
                </c:pt>
                <c:pt idx="832">
                  <c:v>2924.3375998108363</c:v>
                </c:pt>
                <c:pt idx="833">
                  <c:v>2945.9354434819061</c:v>
                </c:pt>
                <c:pt idx="834">
                  <c:v>2967.2531465725715</c:v>
                </c:pt>
                <c:pt idx="835">
                  <c:v>2988.2956380075125</c:v>
                </c:pt>
                <c:pt idx="836">
                  <c:v>3009.0676842112707</c:v>
                </c:pt>
                <c:pt idx="837">
                  <c:v>3029.5738961340426</c:v>
                </c:pt>
                <c:pt idx="838">
                  <c:v>3049.8187358967552</c:v>
                </c:pt>
                <c:pt idx="839">
                  <c:v>3069.8065230800562</c:v>
                </c:pt>
                <c:pt idx="840">
                  <c:v>3089.5414406799864</c:v>
                </c:pt>
                <c:pt idx="841">
                  <c:v>3109.0275407514282</c:v>
                </c:pt>
                <c:pt idx="842">
                  <c:v>3128.2687497588645</c:v>
                </c:pt>
                <c:pt idx="843">
                  <c:v>3147.2688736525733</c:v>
                </c:pt>
                <c:pt idx="844">
                  <c:v>3166.0316026870764</c:v>
                </c:pt>
                <c:pt idx="845">
                  <c:v>3184.5605159974684</c:v>
                </c:pt>
                <c:pt idx="846">
                  <c:v>3202.8590859481506</c:v>
                </c:pt>
                <c:pt idx="847">
                  <c:v>3220.9306822674848</c:v>
                </c:pt>
                <c:pt idx="848">
                  <c:v>3238.7785759809522</c:v>
                </c:pt>
                <c:pt idx="849">
                  <c:v>3256.4059431545388</c:v>
                </c:pt>
                <c:pt idx="850">
                  <c:v>3273.8158684592868</c:v>
                </c:pt>
                <c:pt idx="851">
                  <c:v>3291.0113485672064</c:v>
                </c:pt>
                <c:pt idx="852">
                  <c:v>3307.9952953880829</c:v>
                </c:pt>
                <c:pt idx="853">
                  <c:v>3324.7705391560735</c:v>
                </c:pt>
                <c:pt idx="854">
                  <c:v>3341.3398313744233</c:v>
                </c:pt>
                <c:pt idx="855">
                  <c:v>3357.7058476260854</c:v>
                </c:pt>
                <c:pt idx="856">
                  <c:v>3373.8711902575387</c:v>
                </c:pt>
                <c:pt idx="857">
                  <c:v>3389.8383909426329</c:v>
                </c:pt>
                <c:pt idx="858">
                  <c:v>3405.6099131328679</c:v>
                </c:pt>
                <c:pt idx="859">
                  <c:v>3421.1881544001117</c:v>
                </c:pt>
                <c:pt idx="860">
                  <c:v>3436.5754486773963</c:v>
                </c:pt>
                <c:pt idx="861">
                  <c:v>3451.7740684030882</c:v>
                </c:pt>
                <c:pt idx="862">
                  <c:v>3466.7862265734057</c:v>
                </c:pt>
                <c:pt idx="863">
                  <c:v>3481.6140787079644</c:v>
                </c:pt>
                <c:pt idx="864">
                  <c:v>3496.259724732749</c:v>
                </c:pt>
                <c:pt idx="865">
                  <c:v>3510.7252107846566</c:v>
                </c:pt>
                <c:pt idx="866">
                  <c:v>3525.0125309415107</c:v>
                </c:pt>
                <c:pt idx="867">
                  <c:v>3539.1236288812202</c:v>
                </c:pt>
                <c:pt idx="868">
                  <c:v>3553.0603994735529</c:v>
                </c:pt>
                <c:pt idx="869">
                  <c:v>3566.8246903077898</c:v>
                </c:pt>
                <c:pt idx="870">
                  <c:v>3580.4183031593416</c:v>
                </c:pt>
                <c:pt idx="871">
                  <c:v>3593.8429953982477</c:v>
                </c:pt>
                <c:pt idx="872">
                  <c:v>3607.1004813423015</c:v>
                </c:pt>
                <c:pt idx="873">
                  <c:v>3620.1924335574058</c:v>
                </c:pt>
                <c:pt idx="874">
                  <c:v>3633.1204841076169</c:v>
                </c:pt>
                <c:pt idx="875">
                  <c:v>3645.8862257572027</c:v>
                </c:pt>
                <c:pt idx="876">
                  <c:v>3658.4912131269157</c:v>
                </c:pt>
                <c:pt idx="877">
                  <c:v>3670.9369638065659</c:v>
                </c:pt>
                <c:pt idx="878">
                  <c:v>3683.2249594258692</c:v>
                </c:pt>
                <c:pt idx="879">
                  <c:v>3695.3566466854413</c:v>
                </c:pt>
                <c:pt idx="880">
                  <c:v>3707.3334383497104</c:v>
                </c:pt>
                <c:pt idx="881">
                  <c:v>3719.1567142034351</c:v>
                </c:pt>
                <c:pt idx="882">
                  <c:v>3730.827821973422</c:v>
                </c:pt>
                <c:pt idx="883">
                  <c:v>3742.3480782169599</c:v>
                </c:pt>
                <c:pt idx="884">
                  <c:v>3753.7187691784125</c:v>
                </c:pt>
                <c:pt idx="885">
                  <c:v>3764.9411516153359</c:v>
                </c:pt>
                <c:pt idx="886">
                  <c:v>3776.0164535954241</c:v>
                </c:pt>
                <c:pt idx="887">
                  <c:v>3786.9458752655169</c:v>
                </c:pt>
                <c:pt idx="888">
                  <c:v>3797.7305895938521</c:v>
                </c:pt>
                <c:pt idx="889">
                  <c:v>3808.3717430866759</c:v>
                </c:pt>
                <c:pt idx="890">
                  <c:v>3818.8704564802852</c:v>
                </c:pt>
                <c:pt idx="891">
                  <c:v>3829.2278254095122</c:v>
                </c:pt>
                <c:pt idx="892">
                  <c:v>3839.444921053625</c:v>
                </c:pt>
                <c:pt idx="893">
                  <c:v>3849.522790760564</c:v>
                </c:pt>
                <c:pt idx="894">
                  <c:v>3859.4624586503951</c:v>
                </c:pt>
                <c:pt idx="895">
                  <c:v>3869.264926198824</c:v>
                </c:pt>
                <c:pt idx="896">
                  <c:v>3878.9311728015687</c:v>
                </c:pt>
                <c:pt idx="897">
                  <c:v>3888.4621563203596</c:v>
                </c:pt>
                <c:pt idx="898">
                  <c:v>3897.8588136112994</c:v>
                </c:pt>
                <c:pt idx="899">
                  <c:v>3907.1220610362816</c:v>
                </c:pt>
                <c:pt idx="900">
                  <c:v>3916.2527949581363</c:v>
                </c:pt>
                <c:pt idx="901">
                  <c:v>3925.2518922201466</c:v>
                </c:pt>
                <c:pt idx="902">
                  <c:v>3934.1202106105443</c:v>
                </c:pt>
                <c:pt idx="903">
                  <c:v>3942.8585893125755</c:v>
                </c:pt>
                <c:pt idx="904">
                  <c:v>3951.4678493406968</c:v>
                </c:pt>
                <c:pt idx="905">
                  <c:v>3959.9487939634414</c:v>
                </c:pt>
                <c:pt idx="906">
                  <c:v>3968.3022091134726</c:v>
                </c:pt>
                <c:pt idx="907">
                  <c:v>3976.5288637853196</c:v>
                </c:pt>
                <c:pt idx="908">
                  <c:v>3984.6295104212741</c:v>
                </c:pt>
                <c:pt idx="909">
                  <c:v>3992.6048852859035</c:v>
                </c:pt>
                <c:pt idx="910">
                  <c:v>4000.4557088296215</c:v>
                </c:pt>
                <c:pt idx="911">
                  <c:v>4008.1826860417373</c:v>
                </c:pt>
                <c:pt idx="912">
                  <c:v>4015.7865067933944</c:v>
                </c:pt>
                <c:pt idx="913">
                  <c:v>4023.2678461707878</c:v>
                </c:pt>
                <c:pt idx="914">
                  <c:v>4030.6273647990361</c:v>
                </c:pt>
                <c:pt idx="915">
                  <c:v>4037.8657091570776</c:v>
                </c:pt>
                <c:pt idx="916">
                  <c:v>4044.9835118839364</c:v>
                </c:pt>
                <c:pt idx="917">
                  <c:v>4051.9813920767024</c:v>
                </c:pt>
                <c:pt idx="918">
                  <c:v>4058.8599555805486</c:v>
                </c:pt>
                <c:pt idx="919">
                  <c:v>4065.6197952711068</c:v>
                </c:pt>
                <c:pt idx="920">
                  <c:v>4072.2614913295051</c:v>
                </c:pt>
                <c:pt idx="921">
                  <c:v>4078.7856115103673</c:v>
                </c:pt>
                <c:pt idx="922">
                  <c:v>4085.1927114030586</c:v>
                </c:pt>
                <c:pt idx="923">
                  <c:v>4091.4833346864611</c:v>
                </c:pt>
                <c:pt idx="924">
                  <c:v>4097.6580133775451</c:v>
                </c:pt>
                <c:pt idx="925">
                  <c:v>4103.7172680740068</c:v>
                </c:pt>
                <c:pt idx="926">
                  <c:v>4109.6616081912189</c:v>
                </c:pt>
                <c:pt idx="927">
                  <c:v>4115.491532193756</c:v>
                </c:pt>
                <c:pt idx="928">
                  <c:v>4121.2075278217244</c:v>
                </c:pt>
                <c:pt idx="929">
                  <c:v>4126.8100723121424</c:v>
                </c:pt>
                <c:pt idx="930">
                  <c:v>4132.2996326156008</c:v>
                </c:pt>
                <c:pt idx="931">
                  <c:v>4137.6766656084264</c:v>
                </c:pt>
                <c:pt idx="932">
                  <c:v>4142.9416183005715</c:v>
                </c:pt>
                <c:pt idx="933">
                  <c:v>4148.0949280394434</c:v>
                </c:pt>
                <c:pt idx="934">
                  <c:v>4153.1370227098887</c:v>
                </c:pt>
                <c:pt idx="935">
                  <c:v>4158.0683209305334</c:v>
                </c:pt>
                <c:pt idx="936">
                  <c:v>4162.8892322466909</c:v>
                </c:pt>
                <c:pt idx="937">
                  <c:v>4167.6001573200238</c:v>
                </c:pt>
                <c:pt idx="938">
                  <c:v>4172.2014881151681</c:v>
                </c:pt>
                <c:pt idx="939">
                  <c:v>4176.6936080835012</c:v>
                </c:pt>
                <c:pt idx="940">
                  <c:v>4181.0768923442456</c:v>
                </c:pt>
                <c:pt idx="941">
                  <c:v>4185.3517078630948</c:v>
                </c:pt>
                <c:pt idx="942">
                  <c:v>4189.518413628537</c:v>
                </c:pt>
                <c:pt idx="943">
                  <c:v>4193.577360826057</c:v>
                </c:pt>
                <c:pt idx="944">
                  <c:v>4197.5288930103925</c:v>
                </c:pt>
                <c:pt idx="945">
                  <c:v>4201.3733462760119</c:v>
                </c:pt>
                <c:pt idx="946">
                  <c:v>4205.1110494259819</c:v>
                </c:pt>
                <c:pt idx="947">
                  <c:v>4208.7423241393899</c:v>
                </c:pt>
                <c:pt idx="948">
                  <c:v>4212.2674851374786</c:v>
                </c:pt>
                <c:pt idx="949">
                  <c:v>4215.6868403486478</c:v>
                </c:pt>
                <c:pt idx="950">
                  <c:v>4219.0006910724815</c:v>
                </c:pt>
                <c:pt idx="951">
                  <c:v>4222.2093321429347</c:v>
                </c:pt>
                <c:pt idx="952">
                  <c:v>4225.3130520908389</c:v>
                </c:pt>
                <c:pt idx="953">
                  <c:v>4228.3121333058443</c:v>
                </c:pt>
                <c:pt idx="954">
                  <c:v>4231.206852197949</c:v>
                </c:pt>
                <c:pt idx="955">
                  <c:v>4233.9974793587271</c:v>
                </c:pt>
                <c:pt idx="956">
                  <c:v>4236.6842797223835</c:v>
                </c:pt>
                <c:pt idx="957">
                  <c:v>4239.2675127267421</c:v>
                </c:pt>
                <c:pt idx="958">
                  <c:v>4241.7474324742816</c:v>
                </c:pt>
                <c:pt idx="959">
                  <c:v>4244.1242878933062</c:v>
                </c:pt>
                <c:pt idx="960">
                  <c:v>4246.3983228993511</c:v>
                </c:pt>
                <c:pt idx="961">
                  <c:v>4248.5697765568939</c:v>
                </c:pt>
                <c:pt idx="962">
                  <c:v>4250.638883241455</c:v>
                </c:pt>
                <c:pt idx="963">
                  <c:v>4252.6058728021362</c:v>
                </c:pt>
                <c:pt idx="964">
                  <c:v>4254.4709707246602</c:v>
                </c:pt>
                <c:pt idx="965">
                  <c:v>4256.2343982949451</c:v>
                </c:pt>
                <c:pt idx="966">
                  <c:v>4257.8963727632427</c:v>
                </c:pt>
                <c:pt idx="967">
                  <c:v>4259.4571075088616</c:v>
                </c:pt>
                <c:pt idx="968">
                  <c:v>4260.9168122054798</c:v>
                </c:pt>
                <c:pt idx="969">
                  <c:v>4262.2756929870375</c:v>
                </c:pt>
                <c:pt idx="970">
                  <c:v>4263.5339526141879</c:v>
                </c:pt>
                <c:pt idx="971">
                  <c:v>4264.6917906412782</c:v>
                </c:pt>
                <c:pt idx="972">
                  <c:v>4265.7494035838108</c:v>
                </c:pt>
                <c:pt idx="973">
                  <c:v>4266.7069850863254</c:v>
                </c:pt>
                <c:pt idx="974">
                  <c:v>4267.5647260906289</c:v>
                </c:pt>
                <c:pt idx="975">
                  <c:v>4268.3228150042869</c:v>
                </c:pt>
                <c:pt idx="976">
                  <c:v>4268.981437869279</c:v>
                </c:pt>
                <c:pt idx="977">
                  <c:v>4269.5407785307098</c:v>
                </c:pt>
                <c:pt idx="978">
                  <c:v>4270.0010188054439</c:v>
                </c:pt>
                <c:pt idx="979">
                  <c:v>4270.3623386505415</c:v>
                </c:pt>
                <c:pt idx="980">
                  <c:v>4270.624916331346</c:v>
                </c:pt>
                <c:pt idx="981">
                  <c:v>4270.7889285890678</c:v>
                </c:pt>
                <c:pt idx="982">
                  <c:v>4270.8545508077032</c:v>
                </c:pt>
                <c:pt idx="983">
                  <c:v>4270.8219571801219</c:v>
                </c:pt>
                <c:pt idx="984">
                  <c:v>4270.6913208731448</c:v>
                </c:pt>
                <c:pt idx="985">
                  <c:v>4270.4628141914263</c:v>
                </c:pt>
                <c:pt idx="986">
                  <c:v>4270.1366087399656</c:v>
                </c:pt>
                <c:pt idx="987">
                  <c:v>4269.7128755850508</c:v>
                </c:pt>
                <c:pt idx="988">
                  <c:v>4269.191785413449</c:v>
                </c:pt>
                <c:pt idx="989">
                  <c:v>4268.5735086896611</c:v>
                </c:pt>
                <c:pt idx="990">
                  <c:v>4267.858215811043</c:v>
                </c:pt>
                <c:pt idx="991">
                  <c:v>4267.0460772606157</c:v>
                </c:pt>
                <c:pt idx="992">
                  <c:v>4266.137263757385</c:v>
                </c:pt>
                <c:pt idx="993">
                  <c:v>4265.1319464039952</c:v>
                </c:pt>
                <c:pt idx="994">
                  <c:v>4264.0302968315455</c:v>
                </c:pt>
                <c:pt idx="995">
                  <c:v>4262.832487341414</c:v>
                </c:pt>
                <c:pt idx="996">
                  <c:v>4261.5386910439329</c:v>
                </c:pt>
                <c:pt idx="997">
                  <c:v>4260.1490819937799</c:v>
                </c:pt>
                <c:pt idx="998">
                  <c:v>4258.6638353219414</c:v>
                </c:pt>
                <c:pt idx="999">
                  <c:v>4257.0831273641406</c:v>
                </c:pt>
                <c:pt idx="1000">
                  <c:v>4255.4071357856101</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Calculs!$K$4:$K$1004</c:f>
              <c:numCache>
                <c:formatCode>0.00</c:formatCode>
                <c:ptCount val="1001"/>
                <c:pt idx="0">
                  <c:v>0</c:v>
                </c:pt>
                <c:pt idx="1">
                  <c:v>0</c:v>
                </c:pt>
                <c:pt idx="2">
                  <c:v>6.0020307963908244E-4</c:v>
                </c:pt>
                <c:pt idx="3">
                  <c:v>3.1064297722816271E-3</c:v>
                </c:pt>
                <c:pt idx="4">
                  <c:v>8.9304400737679878E-3</c:v>
                </c:pt>
                <c:pt idx="5">
                  <c:v>1.9213038171493942E-2</c:v>
                </c:pt>
                <c:pt idx="6">
                  <c:v>3.4551735190846859E-2</c:v>
                </c:pt>
                <c:pt idx="7">
                  <c:v>5.5272410308980426E-2</c:v>
                </c:pt>
                <c:pt idx="8">
                  <c:v>8.1701311614856109E-2</c:v>
                </c:pt>
                <c:pt idx="9">
                  <c:v>0.11409101034021218</c:v>
                </c:pt>
                <c:pt idx="10">
                  <c:v>0.15254622098685661</c:v>
                </c:pt>
                <c:pt idx="11">
                  <c:v>0.19709767448295912</c:v>
                </c:pt>
                <c:pt idx="12">
                  <c:v>0.24777611687929663</c:v>
                </c:pt>
                <c:pt idx="13">
                  <c:v>0.30461230917663479</c:v>
                </c:pt>
                <c:pt idx="14">
                  <c:v>0.36763702715105351</c:v>
                </c:pt>
                <c:pt idx="15">
                  <c:v>0.43688106117721259</c:v>
                </c:pt>
                <c:pt idx="16">
                  <c:v>0.51237521604955294</c:v>
                </c:pt>
                <c:pt idx="17">
                  <c:v>0.59415031080143055</c:v>
                </c:pt>
                <c:pt idx="18">
                  <c:v>0.68223717852217791</c:v>
                </c:pt>
                <c:pt idx="19">
                  <c:v>0.77666666617209035</c:v>
                </c:pt>
                <c:pt idx="20">
                  <c:v>0.87746963439533288</c:v>
                </c:pt>
                <c:pt idx="21">
                  <c:v>0.98467177246483362</c:v>
                </c:pt>
                <c:pt idx="22">
                  <c:v>1.0982858104545967</c:v>
                </c:pt>
                <c:pt idx="23">
                  <c:v>1.2183166870123663</c:v>
                </c:pt>
                <c:pt idx="24">
                  <c:v>1.344769319957301</c:v>
                </c:pt>
                <c:pt idx="25">
                  <c:v>1.4776486061968197</c:v>
                </c:pt>
                <c:pt idx="26">
                  <c:v>1.6169594216436829</c:v>
                </c:pt>
                <c:pt idx="27">
                  <c:v>1.7627066211333124</c:v>
                </c:pt>
                <c:pt idx="28">
                  <c:v>1.9148950383413548</c:v>
                </c:pt>
                <c:pt idx="29">
                  <c:v>2.0735294857014872</c:v>
                </c:pt>
                <c:pt idx="30">
                  <c:v>2.2386147543234749</c:v>
                </c:pt>
                <c:pt idx="31">
                  <c:v>2.4101556139114795</c:v>
                </c:pt>
                <c:pt idx="32">
                  <c:v>2.58815681268262</c:v>
                </c:pt>
                <c:pt idx="33">
                  <c:v>2.7726230772857963</c:v>
                </c:pt>
                <c:pt idx="34">
                  <c:v>2.9635591127207697</c:v>
                </c:pt>
                <c:pt idx="35">
                  <c:v>3.1609696022575111</c:v>
                </c:pt>
                <c:pt idx="36">
                  <c:v>3.3648592073558166</c:v>
                </c:pt>
                <c:pt idx="37">
                  <c:v>3.5752325675851915</c:v>
                </c:pt>
                <c:pt idx="38">
                  <c:v>3.792094300545013</c:v>
                </c:pt>
                <c:pt idx="39">
                  <c:v>4.0154490017849662</c:v>
                </c:pt>
                <c:pt idx="40">
                  <c:v>4.245268372254003</c:v>
                </c:pt>
                <c:pt idx="41">
                  <c:v>4.4815230598689961</c:v>
                </c:pt>
                <c:pt idx="42">
                  <c:v>4.7242155341504413</c:v>
                </c:pt>
                <c:pt idx="43">
                  <c:v>4.9733482628268959</c:v>
                </c:pt>
                <c:pt idx="44">
                  <c:v>5.2289237270389517</c:v>
                </c:pt>
                <c:pt idx="45">
                  <c:v>5.4909444197044968</c:v>
                </c:pt>
                <c:pt idx="46">
                  <c:v>5.7594139932198782</c:v>
                </c:pt>
                <c:pt idx="47">
                  <c:v>6.0343375462237931</c:v>
                </c:pt>
                <c:pt idx="48">
                  <c:v>6.315720474067315</c:v>
                </c:pt>
                <c:pt idx="49">
                  <c:v>6.6035681804072341</c:v>
                </c:pt>
                <c:pt idx="50">
                  <c:v>6.8978860760314129</c:v>
                </c:pt>
                <c:pt idx="51">
                  <c:v>7.1986795777479582</c:v>
                </c:pt>
                <c:pt idx="52">
                  <c:v>7.5059541073332108</c:v>
                </c:pt>
                <c:pt idx="53">
                  <c:v>7.8197150905340074</c:v>
                </c:pt>
                <c:pt idx="54">
                  <c:v>8.1399679561201346</c:v>
                </c:pt>
                <c:pt idx="55">
                  <c:v>8.4667181349832621</c:v>
                </c:pt>
                <c:pt idx="56">
                  <c:v>8.7999710592789864</c:v>
                </c:pt>
                <c:pt idx="57">
                  <c:v>9.1397321616089311</c:v>
                </c:pt>
                <c:pt idx="58">
                  <c:v>9.4860068742401058</c:v>
                </c:pt>
                <c:pt idx="59">
                  <c:v>9.8388006283589799</c:v>
                </c:pt>
                <c:pt idx="60">
                  <c:v>10.198118853357954</c:v>
                </c:pt>
                <c:pt idx="61">
                  <c:v>10.563966976152077</c:v>
                </c:pt>
                <c:pt idx="62">
                  <c:v>10.936350420524066</c:v>
                </c:pt>
                <c:pt idx="63">
                  <c:v>11.31527460649583</c:v>
                </c:pt>
                <c:pt idx="64">
                  <c:v>11.700744949724843</c:v>
                </c:pt>
                <c:pt idx="65">
                  <c:v>12.09276686092384</c:v>
                </c:pt>
                <c:pt idx="66">
                  <c:v>12.491345745302434</c:v>
                </c:pt>
                <c:pt idx="67">
                  <c:v>12.896487002029355</c:v>
                </c:pt>
                <c:pt idx="68">
                  <c:v>13.308196023714103</c:v>
                </c:pt>
                <c:pt idx="69">
                  <c:v>13.726495953160748</c:v>
                </c:pt>
                <c:pt idx="70">
                  <c:v>14.151435309654898</c:v>
                </c:pt>
                <c:pt idx="71">
                  <c:v>14.583070251808925</c:v>
                </c:pt>
                <c:pt idx="72">
                  <c:v>15.021456971123982</c:v>
                </c:pt>
                <c:pt idx="73">
                  <c:v>15.466651691976699</c:v>
                </c:pt>
                <c:pt idx="74">
                  <c:v>15.91871067159725</c:v>
                </c:pt>
                <c:pt idx="75">
                  <c:v>16.37769020003886</c:v>
                </c:pt>
                <c:pt idx="76">
                  <c:v>16.843646600138818</c:v>
                </c:pt>
                <c:pt idx="77">
                  <c:v>17.316603517890766</c:v>
                </c:pt>
                <c:pt idx="78">
                  <c:v>17.796537870571601</c:v>
                </c:pt>
                <c:pt idx="79">
                  <c:v>18.283412515329072</c:v>
                </c:pt>
                <c:pt idx="80">
                  <c:v>18.777190260060998</c:v>
                </c:pt>
                <c:pt idx="81">
                  <c:v>19.277833863478786</c:v>
                </c:pt>
                <c:pt idx="82">
                  <c:v>19.785306035198456</c:v>
                </c:pt>
                <c:pt idx="83">
                  <c:v>20.299569435857503</c:v>
                </c:pt>
                <c:pt idx="84">
                  <c:v>20.820586677256149</c:v>
                </c:pt>
                <c:pt idx="85">
                  <c:v>21.348320322521534</c:v>
                </c:pt>
                <c:pt idx="86">
                  <c:v>21.882737318809799</c:v>
                </c:pt>
                <c:pt idx="87">
                  <c:v>22.423826736940129</c:v>
                </c:pt>
                <c:pt idx="88">
                  <c:v>22.971595356504743</c:v>
                </c:pt>
                <c:pt idx="89">
                  <c:v>23.526049943819491</c:v>
                </c:pt>
                <c:pt idx="90">
                  <c:v>24.087197251647176</c:v>
                </c:pt>
                <c:pt idx="91">
                  <c:v>24.655044018926493</c:v>
                </c:pt>
                <c:pt idx="92">
                  <c:v>25.229596970506371</c:v>
                </c:pt>
                <c:pt idx="93">
                  <c:v>25.810862816885468</c:v>
                </c:pt>
                <c:pt idx="94">
                  <c:v>26.398848253956661</c:v>
                </c:pt>
                <c:pt idx="95">
                  <c:v>26.993559962756301</c:v>
                </c:pt>
                <c:pt idx="96">
                  <c:v>27.595004609218087</c:v>
                </c:pt>
                <c:pt idx="97">
                  <c:v>28.203188843931358</c:v>
                </c:pt>
                <c:pt idx="98">
                  <c:v>28.818119301903657</c:v>
                </c:pt>
                <c:pt idx="99">
                  <c:v>29.439802602327418</c:v>
                </c:pt>
                <c:pt idx="100">
                  <c:v>30.068245348350608</c:v>
                </c:pt>
                <c:pt idx="101">
                  <c:v>30.703454126851195</c:v>
                </c:pt>
                <c:pt idx="102">
                  <c:v>31.345435508215328</c:v>
                </c:pt>
                <c:pt idx="103">
                  <c:v>31.994196046119072</c:v>
                </c:pt>
                <c:pt idx="104">
                  <c:v>32.649742277313599</c:v>
                </c:pt>
                <c:pt idx="105">
                  <c:v>33.312080721413722</c:v>
                </c:pt>
                <c:pt idx="106">
                  <c:v>33.981217880689627</c:v>
                </c:pt>
                <c:pt idx="107">
                  <c:v>34.65716023986176</c:v>
                </c:pt>
                <c:pt idx="108">
                  <c:v>35.339914265898742</c:v>
                </c:pt>
                <c:pt idx="109">
                  <c:v>36.02948640781819</c:v>
                </c:pt>
                <c:pt idx="110">
                  <c:v>36.725883096490385</c:v>
                </c:pt>
                <c:pt idx="111">
                  <c:v>37.429110744444706</c:v>
                </c:pt>
                <c:pt idx="112">
                  <c:v>38.139175745678756</c:v>
                </c:pt>
                <c:pt idx="113">
                  <c:v>38.856084475470048</c:v>
                </c:pt>
                <c:pt idx="114">
                  <c:v>39.579843290190226</c:v>
                </c:pt>
                <c:pt idx="115">
                  <c:v>40.310458527121753</c:v>
                </c:pt>
                <c:pt idx="116">
                  <c:v>41.047936504276976</c:v>
                </c:pt>
                <c:pt idx="117">
                  <c:v>41.792283520219499</c:v>
                </c:pt>
                <c:pt idx="118">
                  <c:v>42.543505853887829</c:v>
                </c:pt>
                <c:pt idx="119">
                  <c:v>43.301609764421201</c:v>
                </c:pt>
                <c:pt idx="120">
                  <c:v>44.066601490987566</c:v>
                </c:pt>
                <c:pt idx="121">
                  <c:v>44.838487252613653</c:v>
                </c:pt>
                <c:pt idx="122">
                  <c:v>45.617273248017078</c:v>
                </c:pt>
                <c:pt idx="123">
                  <c:v>46.402965655440411</c:v>
                </c:pt>
                <c:pt idx="124">
                  <c:v>47.195570632487225</c:v>
                </c:pt>
                <c:pt idx="125">
                  <c:v>47.995094315959989</c:v>
                </c:pt>
                <c:pt idx="126">
                  <c:v>48.801542821699847</c:v>
                </c:pt>
                <c:pt idx="127">
                  <c:v>49.6149222444282</c:v>
                </c:pt>
                <c:pt idx="128">
                  <c:v>50.435238657590027</c:v>
                </c:pt>
                <c:pt idx="129">
                  <c:v>51.262498113198973</c:v>
                </c:pt>
                <c:pt idx="130">
                  <c:v>52.096706641684108</c:v>
                </c:pt>
                <c:pt idx="131">
                  <c:v>52.937870251738339</c:v>
                </c:pt>
                <c:pt idx="132">
                  <c:v>53.785994930168464</c:v>
                </c:pt>
                <c:pt idx="133">
                  <c:v>54.641086641746789</c:v>
                </c:pt>
                <c:pt idx="134">
                  <c:v>55.503151329064345</c:v>
                </c:pt>
                <c:pt idx="135">
                  <c:v>56.372194912385602</c:v>
                </c:pt>
                <c:pt idx="136">
                  <c:v>57.248223289504686</c:v>
                </c:pt>
                <c:pt idx="137">
                  <c:v>58.131242335603091</c:v>
                </c:pt>
                <c:pt idx="138">
                  <c:v>59.021257903108818</c:v>
                </c:pt>
                <c:pt idx="139">
                  <c:v>59.918275821556954</c:v>
                </c:pt>
                <c:pt idx="140">
                  <c:v>60.822301897451638</c:v>
                </c:pt>
                <c:pt idx="141">
                  <c:v>61.733341914129397</c:v>
                </c:pt>
                <c:pt idx="142">
                  <c:v>62.651401631623862</c:v>
                </c:pt>
                <c:pt idx="143">
                  <c:v>63.576486786531774</c:v>
                </c:pt>
                <c:pt idx="144">
                  <c:v>64.508603091880332</c:v>
                </c:pt>
                <c:pt idx="145">
                  <c:v>65.447756236995815</c:v>
                </c:pt>
                <c:pt idx="146">
                  <c:v>66.393951887373518</c:v>
                </c:pt>
                <c:pt idx="147">
                  <c:v>67.347195684548865</c:v>
                </c:pt>
                <c:pt idx="148">
                  <c:v>68.307493245969823</c:v>
                </c:pt>
                <c:pt idx="149">
                  <c:v>69.274850164870514</c:v>
                </c:pt>
                <c:pt idx="150">
                  <c:v>70.249272010146015</c:v>
                </c:pt>
                <c:pt idx="151">
                  <c:v>71.230764326228382</c:v>
                </c:pt>
                <c:pt idx="152">
                  <c:v>72.219332632963827</c:v>
                </c:pt>
                <c:pt idx="153">
                  <c:v>73.214982425491044</c:v>
                </c:pt>
                <c:pt idx="154">
                  <c:v>74.217719174120688</c:v>
                </c:pt>
                <c:pt idx="155">
                  <c:v>75.227548324216002</c:v>
                </c:pt>
                <c:pt idx="156">
                  <c:v>76.24447529607454</c:v>
                </c:pt>
                <c:pt idx="157">
                  <c:v>77.268505484811001</c:v>
                </c:pt>
                <c:pt idx="158">
                  <c:v>78.299644260241209</c:v>
                </c:pt>
                <c:pt idx="159">
                  <c:v>79.337896966767062</c:v>
                </c:pt>
                <c:pt idx="160">
                  <c:v>80.383268923262705</c:v>
                </c:pt>
                <c:pt idx="161">
                  <c:v>81.435765422961623</c:v>
                </c:pt>
                <c:pt idx="162">
                  <c:v>82.495391733344903</c:v>
                </c:pt>
                <c:pt idx="163">
                  <c:v>83.562153096030471</c:v>
                </c:pt>
                <c:pt idx="164">
                  <c:v>84.636054726663374</c:v>
                </c:pt>
                <c:pt idx="165">
                  <c:v>85.717101814807137</c:v>
                </c:pt>
                <c:pt idx="166">
                  <c:v>86.805299523836055</c:v>
                </c:pt>
                <c:pt idx="167">
                  <c:v>87.900652990828576</c:v>
                </c:pt>
                <c:pt idx="168">
                  <c:v>89.003167326461664</c:v>
                </c:pt>
                <c:pt idx="169">
                  <c:v>90.112847614906087</c:v>
                </c:pt>
                <c:pt idx="170">
                  <c:v>91.229698913722814</c:v>
                </c:pt>
                <c:pt idx="171">
                  <c:v>92.3537262537603</c:v>
                </c:pt>
                <c:pt idx="172">
                  <c:v>93.48493463905281</c:v>
                </c:pt>
                <c:pt idx="173">
                  <c:v>94.623329046719618</c:v>
                </c:pt>
                <c:pt idx="174">
                  <c:v>95.768914426865308</c:v>
                </c:pt>
                <c:pt idx="175">
                  <c:v>96.921695702480889</c:v>
                </c:pt>
                <c:pt idx="176">
                  <c:v>98.081677769345987</c:v>
                </c:pt>
                <c:pt idx="177">
                  <c:v>99.248865495931881</c:v>
                </c:pt>
                <c:pt idx="178">
                  <c:v>100.42326372330557</c:v>
                </c:pt>
                <c:pt idx="179">
                  <c:v>101.60487726503467</c:v>
                </c:pt>
                <c:pt idx="180">
                  <c:v>102.79371090709337</c:v>
                </c:pt>
                <c:pt idx="181">
                  <c:v>103.98976940776923</c:v>
                </c:pt>
                <c:pt idx="182">
                  <c:v>105.1930574975709</c:v>
                </c:pt>
                <c:pt idx="183">
                  <c:v>106.40357987913686</c:v>
                </c:pt>
                <c:pt idx="184">
                  <c:v>107.6213412271449</c:v>
                </c:pt>
                <c:pt idx="185">
                  <c:v>108.8463461882227</c:v>
                </c:pt>
                <c:pt idx="186">
                  <c:v>110.07859938085919</c:v>
                </c:pt>
                <c:pt idx="187">
                  <c:v>111.31810539531691</c:v>
                </c:pt>
                <c:pt idx="188">
                  <c:v>112.56486879354514</c:v>
                </c:pt>
                <c:pt idx="189">
                  <c:v>113.81889410909413</c:v>
                </c:pt>
                <c:pt idx="190">
                  <c:v>115.08018584703002</c:v>
                </c:pt>
                <c:pt idx="191">
                  <c:v>116.34874848385078</c:v>
                </c:pt>
                <c:pt idx="192">
                  <c:v>117.62458646740303</c:v>
                </c:pt>
                <c:pt idx="193">
                  <c:v>118.90770421679971</c:v>
                </c:pt>
                <c:pt idx="194">
                  <c:v>120.19810612233867</c:v>
                </c:pt>
                <c:pt idx="195">
                  <c:v>121.49579654542211</c:v>
                </c:pt>
                <c:pt idx="196">
                  <c:v>122.80077981847698</c:v>
                </c:pt>
                <c:pt idx="197">
                  <c:v>124.11306024487618</c:v>
                </c:pt>
                <c:pt idx="198">
                  <c:v>125.43264209886067</c:v>
                </c:pt>
                <c:pt idx="199">
                  <c:v>126.75952962546245</c:v>
                </c:pt>
                <c:pt idx="200">
                  <c:v>128.09372704042849</c:v>
                </c:pt>
                <c:pt idx="201">
                  <c:v>129.43523853014537</c:v>
                </c:pt>
                <c:pt idx="202">
                  <c:v>130.784068251565</c:v>
                </c:pt>
                <c:pt idx="203">
                  <c:v>132.14022033213104</c:v>
                </c:pt>
                <c:pt idx="204">
                  <c:v>133.50369886970631</c:v>
                </c:pt>
                <c:pt idx="205">
                  <c:v>134.87450793250099</c:v>
                </c:pt>
                <c:pt idx="206">
                  <c:v>136.25265155900172</c:v>
                </c:pt>
                <c:pt idx="207">
                  <c:v>137.63813375790161</c:v>
                </c:pt>
                <c:pt idx="208">
                  <c:v>139.03095850803103</c:v>
                </c:pt>
                <c:pt idx="209">
                  <c:v>140.43112975828936</c:v>
                </c:pt>
                <c:pt idx="210">
                  <c:v>141.8386514275775</c:v>
                </c:pt>
                <c:pt idx="211">
                  <c:v>143.25352740473141</c:v>
                </c:pt>
                <c:pt idx="212">
                  <c:v>144.67576154845631</c:v>
                </c:pt>
                <c:pt idx="213">
                  <c:v>146.10535768726186</c:v>
                </c:pt>
                <c:pt idx="214">
                  <c:v>147.54231961939826</c:v>
                </c:pt>
                <c:pt idx="215">
                  <c:v>148.98665111279308</c:v>
                </c:pt>
                <c:pt idx="216">
                  <c:v>150.43835590498904</c:v>
                </c:pt>
                <c:pt idx="217">
                  <c:v>151.89743770308257</c:v>
                </c:pt>
                <c:pt idx="218">
                  <c:v>153.36390018366342</c:v>
                </c:pt>
                <c:pt idx="219">
                  <c:v>154.83774699275489</c:v>
                </c:pt>
                <c:pt idx="220">
                  <c:v>156.31898174575505</c:v>
                </c:pt>
                <c:pt idx="221">
                  <c:v>157.80760802737888</c:v>
                </c:pt>
                <c:pt idx="222">
                  <c:v>159.30362939160105</c:v>
                </c:pt>
                <c:pt idx="223">
                  <c:v>160.80704936159989</c:v>
                </c:pt>
                <c:pt idx="224">
                  <c:v>162.31787142970188</c:v>
                </c:pt>
                <c:pt idx="225">
                  <c:v>163.83609905732729</c:v>
                </c:pt>
                <c:pt idx="226">
                  <c:v>165.36173567493643</c:v>
                </c:pt>
                <c:pt idx="227">
                  <c:v>166.89478468197697</c:v>
                </c:pt>
                <c:pt idx="228">
                  <c:v>168.43524944683202</c:v>
                </c:pt>
                <c:pt idx="229">
                  <c:v>169.98313330676905</c:v>
                </c:pt>
                <c:pt idx="230">
                  <c:v>171.53843956788972</c:v>
                </c:pt>
                <c:pt idx="231">
                  <c:v>173.1011715050806</c:v>
                </c:pt>
                <c:pt idx="232">
                  <c:v>174.67133236196466</c:v>
                </c:pt>
                <c:pt idx="233">
                  <c:v>176.24892535085368</c:v>
                </c:pt>
                <c:pt idx="234">
                  <c:v>177.83395365270155</c:v>
                </c:pt>
                <c:pt idx="235">
                  <c:v>179.42642041705832</c:v>
                </c:pt>
                <c:pt idx="236">
                  <c:v>181.02632876202529</c:v>
                </c:pt>
                <c:pt idx="237">
                  <c:v>182.63368177421074</c:v>
                </c:pt>
                <c:pt idx="238">
                  <c:v>184.24848250868678</c:v>
                </c:pt>
                <c:pt idx="239">
                  <c:v>185.8707339889468</c:v>
                </c:pt>
                <c:pt idx="240">
                  <c:v>187.50043920686397</c:v>
                </c:pt>
                <c:pt idx="241">
                  <c:v>189.13760112265055</c:v>
                </c:pt>
                <c:pt idx="242">
                  <c:v>190.78222266481805</c:v>
                </c:pt>
                <c:pt idx="243">
                  <c:v>192.43430673013827</c:v>
                </c:pt>
                <c:pt idx="244">
                  <c:v>194.0938743296189</c:v>
                </c:pt>
                <c:pt idx="245">
                  <c:v>195.76096459640894</c:v>
                </c:pt>
                <c:pt idx="246">
                  <c:v>197.43561664759437</c:v>
                </c:pt>
                <c:pt idx="247">
                  <c:v>199.11786958396672</c:v>
                </c:pt>
                <c:pt idx="248">
                  <c:v>200.80776248978884</c:v>
                </c:pt>
                <c:pt idx="249">
                  <c:v>202.50533443255796</c:v>
                </c:pt>
                <c:pt idx="250">
                  <c:v>204.21062446276582</c:v>
                </c:pt>
                <c:pt idx="251">
                  <c:v>205.92367161365613</c:v>
                </c:pt>
                <c:pt idx="252">
                  <c:v>207.64451490097915</c:v>
                </c:pt>
                <c:pt idx="253">
                  <c:v>209.3731832852506</c:v>
                </c:pt>
                <c:pt idx="254">
                  <c:v>211.10968562359071</c:v>
                </c:pt>
                <c:pt idx="255">
                  <c:v>212.85402069765519</c:v>
                </c:pt>
                <c:pt idx="256">
                  <c:v>214.6061872521197</c:v>
                </c:pt>
                <c:pt idx="257">
                  <c:v>216.36618399470018</c:v>
                </c:pt>
                <c:pt idx="258">
                  <c:v>218.13400959617448</c:v>
                </c:pt>
                <c:pt idx="259">
                  <c:v>219.90966269040521</c:v>
                </c:pt>
                <c:pt idx="260">
                  <c:v>221.69314187436356</c:v>
                </c:pt>
                <c:pt idx="261">
                  <c:v>223.48444570815437</c:v>
                </c:pt>
                <c:pt idx="262">
                  <c:v>225.28357271504234</c:v>
                </c:pt>
                <c:pt idx="263">
                  <c:v>227.09052138147933</c:v>
                </c:pt>
                <c:pt idx="264">
                  <c:v>228.90529015713281</c:v>
                </c:pt>
                <c:pt idx="265">
                  <c:v>230.72787745491542</c:v>
                </c:pt>
                <c:pt idx="266">
                  <c:v>232.55828165101565</c:v>
                </c:pt>
                <c:pt idx="267">
                  <c:v>234.3965010849297</c:v>
                </c:pt>
                <c:pt idx="268">
                  <c:v>236.24253405949432</c:v>
                </c:pt>
                <c:pt idx="269">
                  <c:v>238.09637884092092</c:v>
                </c:pt>
                <c:pt idx="270">
                  <c:v>239.95803365883069</c:v>
                </c:pt>
                <c:pt idx="271">
                  <c:v>241.82749670629079</c:v>
                </c:pt>
                <c:pt idx="272">
                  <c:v>243.70476613985181</c:v>
                </c:pt>
                <c:pt idx="273">
                  <c:v>245.58984007958608</c:v>
                </c:pt>
                <c:pt idx="274">
                  <c:v>247.48271660912732</c:v>
                </c:pt>
                <c:pt idx="275">
                  <c:v>249.38339377571117</c:v>
                </c:pt>
                <c:pt idx="276">
                  <c:v>251.29186959021695</c:v>
                </c:pt>
                <c:pt idx="277">
                  <c:v>253.20814153835099</c:v>
                </c:pt>
                <c:pt idx="278">
                  <c:v>255.13220584680195</c:v>
                </c:pt>
                <c:pt idx="279">
                  <c:v>257.06405797173414</c:v>
                </c:pt>
                <c:pt idx="280">
                  <c:v>259.0036933323297</c:v>
                </c:pt>
                <c:pt idx="281">
                  <c:v>260.95110731087317</c:v>
                </c:pt>
                <c:pt idx="282">
                  <c:v>262.90629525283737</c:v>
                </c:pt>
                <c:pt idx="283">
                  <c:v>264.86925246697018</c:v>
                </c:pt>
                <c:pt idx="284">
                  <c:v>266.83997422538255</c:v>
                </c:pt>
                <c:pt idx="285">
                  <c:v>268.81845576363742</c:v>
                </c:pt>
                <c:pt idx="286">
                  <c:v>270.80469228083984</c:v>
                </c:pt>
                <c:pt idx="287">
                  <c:v>272.79867893972812</c:v>
                </c:pt>
                <c:pt idx="288">
                  <c:v>274.80041086676601</c:v>
                </c:pt>
                <c:pt idx="289">
                  <c:v>276.80988315223601</c:v>
                </c:pt>
                <c:pt idx="290">
                  <c:v>278.82709085033372</c:v>
                </c:pt>
                <c:pt idx="291">
                  <c:v>280.85202897926303</c:v>
                </c:pt>
                <c:pt idx="292">
                  <c:v>282.88469252133262</c:v>
                </c:pt>
                <c:pt idx="293">
                  <c:v>284.92507642305338</c:v>
                </c:pt>
                <c:pt idx="294">
                  <c:v>286.97317559523674</c:v>
                </c:pt>
                <c:pt idx="295">
                  <c:v>289.02898491309418</c:v>
                </c:pt>
                <c:pt idx="296">
                  <c:v>291.09249921633767</c:v>
                </c:pt>
                <c:pt idx="297">
                  <c:v>293.16371330928121</c:v>
                </c:pt>
                <c:pt idx="298">
                  <c:v>295.24262196094304</c:v>
                </c:pt>
                <c:pt idx="299">
                  <c:v>297.32921990514927</c:v>
                </c:pt>
                <c:pt idx="300">
                  <c:v>299.42350184063832</c:v>
                </c:pt>
                <c:pt idx="301">
                  <c:v>301.52546243116609</c:v>
                </c:pt>
                <c:pt idx="302">
                  <c:v>303.63509630561259</c:v>
                </c:pt>
                <c:pt idx="303">
                  <c:v>305.75239805808911</c:v>
                </c:pt>
                <c:pt idx="304">
                  <c:v>307.8773622480465</c:v>
                </c:pt>
                <c:pt idx="305">
                  <c:v>310.00998340038433</c:v>
                </c:pt>
                <c:pt idx="306">
                  <c:v>312.15025600556129</c:v>
                </c:pt>
                <c:pt idx="307">
                  <c:v>314.29817451970604</c:v>
                </c:pt>
                <c:pt idx="308">
                  <c:v>316.45373336472932</c:v>
                </c:pt>
                <c:pt idx="309">
                  <c:v>318.61692692843701</c:v>
                </c:pt>
                <c:pt idx="310">
                  <c:v>320.78774956464389</c:v>
                </c:pt>
                <c:pt idx="311">
                  <c:v>322.96619559328838</c:v>
                </c:pt>
                <c:pt idx="312">
                  <c:v>325.15225930054828</c:v>
                </c:pt>
                <c:pt idx="313">
                  <c:v>327.34593493895738</c:v>
                </c:pt>
                <c:pt idx="314">
                  <c:v>329.54721672752288</c:v>
                </c:pt>
                <c:pt idx="315">
                  <c:v>331.7560988518436</c:v>
                </c:pt>
                <c:pt idx="316">
                  <c:v>333.97257546422952</c:v>
                </c:pt>
                <c:pt idx="317">
                  <c:v>336.1966406838215</c:v>
                </c:pt>
                <c:pt idx="318">
                  <c:v>338.42828859671243</c:v>
                </c:pt>
                <c:pt idx="319">
                  <c:v>340.66751325606907</c:v>
                </c:pt>
                <c:pt idx="320">
                  <c:v>342.91430868225456</c:v>
                </c:pt>
                <c:pt idx="321">
                  <c:v>345.1686688629519</c:v>
                </c:pt>
                <c:pt idx="322">
                  <c:v>347.43058775328842</c:v>
                </c:pt>
                <c:pt idx="323">
                  <c:v>349.70005927596083</c:v>
                </c:pt>
                <c:pt idx="324">
                  <c:v>351.97707732136115</c:v>
                </c:pt>
                <c:pt idx="325">
                  <c:v>354.26163574770351</c:v>
                </c:pt>
                <c:pt idx="326">
                  <c:v>356.55372838115181</c:v>
                </c:pt>
                <c:pt idx="327">
                  <c:v>358.85334901594808</c:v>
                </c:pt>
                <c:pt idx="328">
                  <c:v>361.16049141454153</c:v>
                </c:pt>
                <c:pt idx="329">
                  <c:v>363.4751493077186</c:v>
                </c:pt>
                <c:pt idx="330">
                  <c:v>365.79731639473368</c:v>
                </c:pt>
                <c:pt idx="331">
                  <c:v>368.12698634344076</c:v>
                </c:pt>
                <c:pt idx="332">
                  <c:v>370.46415279042537</c:v>
                </c:pt>
                <c:pt idx="333">
                  <c:v>372.80880934113793</c:v>
                </c:pt>
                <c:pt idx="334">
                  <c:v>375.16094957002736</c:v>
                </c:pt>
                <c:pt idx="335">
                  <c:v>377.52056702067557</c:v>
                </c:pt>
                <c:pt idx="336">
                  <c:v>379.88765520593284</c:v>
                </c:pt>
                <c:pt idx="337">
                  <c:v>382.2622076080537</c:v>
                </c:pt>
                <c:pt idx="338">
                  <c:v>384.64421767883363</c:v>
                </c:pt>
                <c:pt idx="339">
                  <c:v>387.03367883974653</c:v>
                </c:pt>
                <c:pt idx="340">
                  <c:v>389.43058448208274</c:v>
                </c:pt>
                <c:pt idx="341">
                  <c:v>391.83492796708799</c:v>
                </c:pt>
                <c:pt idx="342">
                  <c:v>394.24670262610277</c:v>
                </c:pt>
                <c:pt idx="343">
                  <c:v>396.66590176070264</c:v>
                </c:pt>
                <c:pt idx="344">
                  <c:v>399.09251905555942</c:v>
                </c:pt>
                <c:pt idx="345">
                  <c:v>401.52655229540341</c:v>
                </c:pt>
                <c:pt idx="346">
                  <c:v>403.9680029523476</c:v>
                </c:pt>
                <c:pt idx="347">
                  <c:v>406.41687246905366</c:v>
                </c:pt>
                <c:pt idx="348">
                  <c:v>408.87316225875742</c:v>
                </c:pt>
                <c:pt idx="349">
                  <c:v>411.33687370529537</c:v>
                </c:pt>
                <c:pt idx="350">
                  <c:v>413.8080081631316</c:v>
                </c:pt>
                <c:pt idx="351">
                  <c:v>416.28656695738573</c:v>
                </c:pt>
                <c:pt idx="352">
                  <c:v>418.77255138386136</c:v>
                </c:pt>
                <c:pt idx="353">
                  <c:v>421.2659627090755</c:v>
                </c:pt>
                <c:pt idx="354">
                  <c:v>423.76680217028837</c:v>
                </c:pt>
                <c:pt idx="355">
                  <c:v>426.27507097553433</c:v>
                </c:pt>
                <c:pt idx="356">
                  <c:v>428.79077030365323</c:v>
                </c:pt>
                <c:pt idx="357">
                  <c:v>431.31390130432266</c:v>
                </c:pt>
                <c:pt idx="358">
                  <c:v>433.84446509809072</c:v>
                </c:pt>
                <c:pt idx="359">
                  <c:v>436.38246277640991</c:v>
                </c:pt>
                <c:pt idx="360">
                  <c:v>438.92789540167132</c:v>
                </c:pt>
                <c:pt idx="361">
                  <c:v>441.48076400723971</c:v>
                </c:pt>
                <c:pt idx="362">
                  <c:v>444.04106959748941</c:v>
                </c:pt>
                <c:pt idx="363">
                  <c:v>446.60881314784081</c:v>
                </c:pt>
                <c:pt idx="364">
                  <c:v>449.18399560479753</c:v>
                </c:pt>
                <c:pt idx="365">
                  <c:v>451.76661788598454</c:v>
                </c:pt>
                <c:pt idx="366">
                  <c:v>454.35668088018673</c:v>
                </c:pt>
                <c:pt idx="367">
                  <c:v>456.95418544738828</c:v>
                </c:pt>
                <c:pt idx="368">
                  <c:v>459.55913241881296</c:v>
                </c:pt>
                <c:pt idx="369">
                  <c:v>462.17152259696473</c:v>
                </c:pt>
                <c:pt idx="370">
                  <c:v>464.79135675566948</c:v>
                </c:pt>
                <c:pt idx="371">
                  <c:v>467.41863564011715</c:v>
                </c:pt>
                <c:pt idx="372">
                  <c:v>470.05335996690474</c:v>
                </c:pt>
                <c:pt idx="373">
                  <c:v>472.69552771837709</c:v>
                </c:pt>
                <c:pt idx="374">
                  <c:v>475.34513414303802</c:v>
                </c:pt>
                <c:pt idx="375">
                  <c:v>478.00217446170257</c:v>
                </c:pt>
                <c:pt idx="376">
                  <c:v>480.66664386761801</c:v>
                </c:pt>
                <c:pt idx="377">
                  <c:v>483.33853752658592</c:v>
                </c:pt>
                <c:pt idx="378">
                  <c:v>486.01785057708435</c:v>
                </c:pt>
                <c:pt idx="379">
                  <c:v>488.70457813039098</c:v>
                </c:pt>
                <c:pt idx="380">
                  <c:v>491.39871527070659</c:v>
                </c:pt>
                <c:pt idx="381">
                  <c:v>494.10025705527931</c:v>
                </c:pt>
                <c:pt idx="382">
                  <c:v>496.80919851452944</c:v>
                </c:pt>
                <c:pt idx="383">
                  <c:v>499.52553465217483</c:v>
                </c:pt>
                <c:pt idx="384">
                  <c:v>502.24926044535664</c:v>
                </c:pt>
                <c:pt idx="385">
                  <c:v>504.98037084476618</c:v>
                </c:pt>
                <c:pt idx="386">
                  <c:v>507.71886077477166</c:v>
                </c:pt>
                <c:pt idx="387">
                  <c:v>510.46472513354604</c:v>
                </c:pt>
                <c:pt idx="388">
                  <c:v>513.21795879319507</c:v>
                </c:pt>
                <c:pt idx="389">
                  <c:v>515.97855659988625</c:v>
                </c:pt>
                <c:pt idx="390">
                  <c:v>518.7465133739779</c:v>
                </c:pt>
                <c:pt idx="391">
                  <c:v>521.52182391014901</c:v>
                </c:pt>
                <c:pt idx="392">
                  <c:v>524.30448297752969</c:v>
                </c:pt>
                <c:pt idx="393">
                  <c:v>527.09448531983196</c:v>
                </c:pt>
                <c:pt idx="394">
                  <c:v>529.89182565548128</c:v>
                </c:pt>
                <c:pt idx="395">
                  <c:v>532.6964986777482</c:v>
                </c:pt>
                <c:pt idx="396">
                  <c:v>535.50849905488099</c:v>
                </c:pt>
                <c:pt idx="397">
                  <c:v>538.3278214302386</c:v>
                </c:pt>
                <c:pt idx="398">
                  <c:v>541.15446042242388</c:v>
                </c:pt>
                <c:pt idx="399">
                  <c:v>543.9884106254176</c:v>
                </c:pt>
                <c:pt idx="400">
                  <c:v>546.82966660871284</c:v>
                </c:pt>
                <c:pt idx="401">
                  <c:v>549.67822291744983</c:v>
                </c:pt>
                <c:pt idx="402">
                  <c:v>552.53407407255133</c:v>
                </c:pt>
                <c:pt idx="403">
                  <c:v>555.39721457085841</c:v>
                </c:pt>
                <c:pt idx="404">
                  <c:v>558.26763888526659</c:v>
                </c:pt>
                <c:pt idx="405">
                  <c:v>561.1453414648629</c:v>
                </c:pt>
                <c:pt idx="406">
                  <c:v>564.0303167350628</c:v>
                </c:pt>
                <c:pt idx="407">
                  <c:v>566.92255909774769</c:v>
                </c:pt>
                <c:pt idx="408">
                  <c:v>569.82206293140325</c:v>
                </c:pt>
                <c:pt idx="409">
                  <c:v>572.72881953016315</c:v>
                </c:pt>
                <c:pt idx="410">
                  <c:v>575.6428163391414</c:v>
                </c:pt>
                <c:pt idx="411">
                  <c:v>578.56404001697092</c:v>
                </c:pt>
                <c:pt idx="412">
                  <c:v>581.49247720211542</c:v>
                </c:pt>
                <c:pt idx="413">
                  <c:v>584.42811451313173</c:v>
                </c:pt>
                <c:pt idx="414">
                  <c:v>587.3709385489326</c:v>
                </c:pt>
                <c:pt idx="415">
                  <c:v>590.32093588904911</c:v>
                </c:pt>
                <c:pt idx="416">
                  <c:v>593.27809309389295</c:v>
                </c:pt>
                <c:pt idx="417">
                  <c:v>596.24239670501879</c:v>
                </c:pt>
                <c:pt idx="418">
                  <c:v>599.21383324538624</c:v>
                </c:pt>
                <c:pt idx="419">
                  <c:v>602.19238921962199</c:v>
                </c:pt>
                <c:pt idx="420">
                  <c:v>605.17805111428163</c:v>
                </c:pt>
                <c:pt idx="421">
                  <c:v>608.1708053981115</c:v>
                </c:pt>
                <c:pt idx="422">
                  <c:v>611.17063852231001</c:v>
                </c:pt>
                <c:pt idx="423">
                  <c:v>614.17753692078929</c:v>
                </c:pt>
                <c:pt idx="424">
                  <c:v>617.19148701043616</c:v>
                </c:pt>
                <c:pt idx="425">
                  <c:v>620.21247519137319</c:v>
                </c:pt>
                <c:pt idx="426">
                  <c:v>623.24048784721958</c:v>
                </c:pt>
                <c:pt idx="427">
                  <c:v>626.27551134535156</c:v>
                </c:pt>
                <c:pt idx="428">
                  <c:v>629.31753203716289</c:v>
                </c:pt>
                <c:pt idx="429">
                  <c:v>632.36653625832491</c:v>
                </c:pt>
                <c:pt idx="430">
                  <c:v>635.42251032904619</c:v>
                </c:pt>
                <c:pt idx="431">
                  <c:v>638.48544055433229</c:v>
                </c:pt>
                <c:pt idx="432">
                  <c:v>641.55531322424508</c:v>
                </c:pt>
                <c:pt idx="433">
                  <c:v>644.63211461416165</c:v>
                </c:pt>
                <c:pt idx="434">
                  <c:v>647.71583098503299</c:v>
                </c:pt>
                <c:pt idx="435">
                  <c:v>650.80644858364246</c:v>
                </c:pt>
                <c:pt idx="436">
                  <c:v>653.90395364286383</c:v>
                </c:pt>
                <c:pt idx="437">
                  <c:v>657.00833238191899</c:v>
                </c:pt>
                <c:pt idx="438">
                  <c:v>660.1195710066354</c:v>
                </c:pt>
                <c:pt idx="439">
                  <c:v>663.23765570970318</c:v>
                </c:pt>
                <c:pt idx="440">
                  <c:v>666.36257267093174</c:v>
                </c:pt>
                <c:pt idx="441">
                  <c:v>669.49430805750615</c:v>
                </c:pt>
                <c:pt idx="442">
                  <c:v>672.63284802424289</c:v>
                </c:pt>
                <c:pt idx="443">
                  <c:v>675.77817871384559</c:v>
                </c:pt>
                <c:pt idx="444">
                  <c:v>678.93028625716022</c:v>
                </c:pt>
                <c:pt idx="445">
                  <c:v>682.08915677342952</c:v>
                </c:pt>
                <c:pt idx="446">
                  <c:v>685.25477637054757</c:v>
                </c:pt>
                <c:pt idx="447">
                  <c:v>688.42713114531364</c:v>
                </c:pt>
                <c:pt idx="448">
                  <c:v>691.60620718368534</c:v>
                </c:pt>
                <c:pt idx="449">
                  <c:v>694.79199056103187</c:v>
                </c:pt>
                <c:pt idx="450">
                  <c:v>697.98446734238644</c:v>
                </c:pt>
                <c:pt idx="451">
                  <c:v>701.18362358269826</c:v>
                </c:pt>
                <c:pt idx="452">
                  <c:v>704.38944532708422</c:v>
                </c:pt>
                <c:pt idx="453">
                  <c:v>707.60191861107967</c:v>
                </c:pt>
                <c:pt idx="454">
                  <c:v>710.82102946088935</c:v>
                </c:pt>
                <c:pt idx="455">
                  <c:v>714.04676389363703</c:v>
                </c:pt>
                <c:pt idx="456">
                  <c:v>717.27910791761542</c:v>
                </c:pt>
                <c:pt idx="457">
                  <c:v>720.51804753253498</c:v>
                </c:pt>
                <c:pt idx="458">
                  <c:v>723.76356872977237</c:v>
                </c:pt>
                <c:pt idx="459">
                  <c:v>727.01565749261829</c:v>
                </c:pt>
                <c:pt idx="460">
                  <c:v>730.27429979652504</c:v>
                </c:pt>
                <c:pt idx="461">
                  <c:v>733.53948160935317</c:v>
                </c:pt>
                <c:pt idx="462">
                  <c:v>736.81118889161769</c:v>
                </c:pt>
                <c:pt idx="463">
                  <c:v>740.08940759673385</c:v>
                </c:pt>
                <c:pt idx="464">
                  <c:v>743.37412367126205</c:v>
                </c:pt>
                <c:pt idx="465">
                  <c:v>746.66532305515216</c:v>
                </c:pt>
                <c:pt idx="466">
                  <c:v>749.96299168198766</c:v>
                </c:pt>
                <c:pt idx="467">
                  <c:v>753.26711547922866</c:v>
                </c:pt>
                <c:pt idx="468">
                  <c:v>756.57768036845459</c:v>
                </c:pt>
                <c:pt idx="469">
                  <c:v>759.89467226560612</c:v>
                </c:pt>
                <c:pt idx="470">
                  <c:v>763.21807708122628</c:v>
                </c:pt>
                <c:pt idx="471">
                  <c:v>766.54788072070153</c:v>
                </c:pt>
                <c:pt idx="472">
                  <c:v>769.88406908450156</c:v>
                </c:pt>
                <c:pt idx="473">
                  <c:v>773.22662806841856</c:v>
                </c:pt>
                <c:pt idx="474">
                  <c:v>776.57554356380604</c:v>
                </c:pt>
                <c:pt idx="475">
                  <c:v>779.93080145781676</c:v>
                </c:pt>
                <c:pt idx="476">
                  <c:v>783.29238763364003</c:v>
                </c:pt>
                <c:pt idx="477">
                  <c:v>786.6602879707383</c:v>
                </c:pt>
                <c:pt idx="478">
                  <c:v>790.03448834508322</c:v>
                </c:pt>
                <c:pt idx="479">
                  <c:v>793.4149746293906</c:v>
                </c:pt>
                <c:pt idx="480">
                  <c:v>796.80173269335512</c:v>
                </c:pt>
                <c:pt idx="481">
                  <c:v>800.19474840388386</c:v>
                </c:pt>
                <c:pt idx="482">
                  <c:v>803.59400762532948</c:v>
                </c:pt>
                <c:pt idx="483">
                  <c:v>806.99949621972257</c:v>
                </c:pt>
                <c:pt idx="484">
                  <c:v>810.41120004700292</c:v>
                </c:pt>
                <c:pt idx="485">
                  <c:v>813.82910496525051</c:v>
                </c:pt>
                <c:pt idx="486">
                  <c:v>817.2531968309155</c:v>
                </c:pt>
                <c:pt idx="487">
                  <c:v>820.68346149904744</c:v>
                </c:pt>
                <c:pt idx="488">
                  <c:v>824.11988482352376</c:v>
                </c:pt>
                <c:pt idx="489">
                  <c:v>827.5624526572775</c:v>
                </c:pt>
                <c:pt idx="490">
                  <c:v>831.01115085252411</c:v>
                </c:pt>
                <c:pt idx="491">
                  <c:v>834.46596526098767</c:v>
                </c:pt>
                <c:pt idx="492">
                  <c:v>837.92688173412637</c:v>
                </c:pt>
                <c:pt idx="493">
                  <c:v>841.39388612335665</c:v>
                </c:pt>
                <c:pt idx="494">
                  <c:v>844.86696428027733</c:v>
                </c:pt>
                <c:pt idx="495">
                  <c:v>848.34610205689194</c:v>
                </c:pt>
                <c:pt idx="496">
                  <c:v>851.83128530583144</c:v>
                </c:pt>
                <c:pt idx="497">
                  <c:v>855.32249889427737</c:v>
                </c:pt>
                <c:pt idx="498">
                  <c:v>858.81972571805409</c:v>
                </c:pt>
                <c:pt idx="499">
                  <c:v>862.32294768994632</c:v>
                </c:pt>
                <c:pt idx="500">
                  <c:v>865.83214672787699</c:v>
                </c:pt>
                <c:pt idx="501">
                  <c:v>869.3473047551829</c:v>
                </c:pt>
                <c:pt idx="502">
                  <c:v>872.86840370088896</c:v>
                </c:pt>
                <c:pt idx="503">
                  <c:v>876.39542549998146</c:v>
                </c:pt>
                <c:pt idx="504">
                  <c:v>879.92835209367956</c:v>
                </c:pt>
                <c:pt idx="505">
                  <c:v>883.46716542970603</c:v>
                </c:pt>
                <c:pt idx="506">
                  <c:v>887.01184746255592</c:v>
                </c:pt>
                <c:pt idx="507">
                  <c:v>890.56238015376402</c:v>
                </c:pt>
                <c:pt idx="508">
                  <c:v>894.11874547217155</c:v>
                </c:pt>
                <c:pt idx="509">
                  <c:v>897.68092539419058</c:v>
                </c:pt>
                <c:pt idx="510">
                  <c:v>901.24890190406768</c:v>
                </c:pt>
                <c:pt idx="511">
                  <c:v>904.82265699414586</c:v>
                </c:pt>
                <c:pt idx="512">
                  <c:v>908.40217266512525</c:v>
                </c:pt>
                <c:pt idx="513">
                  <c:v>911.9874309263223</c:v>
                </c:pt>
                <c:pt idx="514">
                  <c:v>915.57841379592753</c:v>
                </c:pt>
                <c:pt idx="515">
                  <c:v>919.1751033012622</c:v>
                </c:pt>
                <c:pt idx="516">
                  <c:v>922.77748147903287</c:v>
                </c:pt>
                <c:pt idx="517">
                  <c:v>926.38553037558529</c:v>
                </c:pt>
                <c:pt idx="518">
                  <c:v>929.99923204715628</c:v>
                </c:pt>
                <c:pt idx="519">
                  <c:v>933.61856856012434</c:v>
                </c:pt>
                <c:pt idx="520">
                  <c:v>937.24352199125929</c:v>
                </c:pt>
                <c:pt idx="521">
                  <c:v>940.87407442796939</c:v>
                </c:pt>
                <c:pt idx="522">
                  <c:v>944.51020796854823</c:v>
                </c:pt>
                <c:pt idx="523">
                  <c:v>948.15190472241943</c:v>
                </c:pt>
                <c:pt idx="524">
                  <c:v>951.79914681037974</c:v>
                </c:pt>
                <c:pt idx="525">
                  <c:v>955.45191636484151</c:v>
                </c:pt>
                <c:pt idx="526">
                  <c:v>959.1101955300727</c:v>
                </c:pt>
                <c:pt idx="527">
                  <c:v>962.77396646243608</c:v>
                </c:pt>
                <c:pt idx="528">
                  <c:v>966.44321133062681</c:v>
                </c:pt>
                <c:pt idx="529">
                  <c:v>970.11791231590848</c:v>
                </c:pt>
                <c:pt idx="530">
                  <c:v>973.79805161234765</c:v>
                </c:pt>
                <c:pt idx="531">
                  <c:v>977.48361142704675</c:v>
                </c:pt>
                <c:pt idx="532">
                  <c:v>981.17457398037595</c:v>
                </c:pt>
                <c:pt idx="533">
                  <c:v>984.8709215062031</c:v>
                </c:pt>
                <c:pt idx="534">
                  <c:v>988.57263625212261</c:v>
                </c:pt>
                <c:pt idx="535">
                  <c:v>992.27970047968222</c:v>
                </c:pt>
                <c:pt idx="536">
                  <c:v>995.99209646460884</c:v>
                </c:pt>
                <c:pt idx="537">
                  <c:v>999.70980649703267</c:v>
                </c:pt>
                <c:pt idx="538">
                  <c:v>1003.4328128817098</c:v>
                </c:pt>
                <c:pt idx="539">
                  <c:v>1007.1610979382432</c:v>
                </c:pt>
                <c:pt idx="540">
                  <c:v>1010.8946440013026</c:v>
                </c:pt>
                <c:pt idx="541">
                  <c:v>1014.6334334208424</c:v>
                </c:pt>
                <c:pt idx="542">
                  <c:v>1018.3774485623182</c:v>
                </c:pt>
                <c:pt idx="543">
                  <c:v>1022.1266718069024</c:v>
                </c:pt>
                <c:pt idx="544">
                  <c:v>1025.881085551697</c:v>
                </c:pt>
                <c:pt idx="545">
                  <c:v>1029.6406722099459</c:v>
                </c:pt>
                <c:pt idx="546">
                  <c:v>1033.4054142112461</c:v>
                </c:pt>
                <c:pt idx="547">
                  <c:v>1037.1752940017561</c:v>
                </c:pt>
                <c:pt idx="548">
                  <c:v>1040.9502940444031</c:v>
                </c:pt>
                <c:pt idx="549">
                  <c:v>1044.7303968190897</c:v>
                </c:pt>
                <c:pt idx="550">
                  <c:v>1048.5155841551907</c:v>
                </c:pt>
                <c:pt idx="551">
                  <c:v>1052.3058356734639</c:v>
                </c:pt>
                <c:pt idx="552">
                  <c:v>1056.101129456782</c:v>
                </c:pt>
                <c:pt idx="553">
                  <c:v>1059.901443611476</c:v>
                </c:pt>
                <c:pt idx="554">
                  <c:v>1063.7067562675916</c:v>
                </c:pt>
                <c:pt idx="555">
                  <c:v>1067.5170455791435</c:v>
                </c:pt>
                <c:pt idx="556">
                  <c:v>1071.3322897243679</c:v>
                </c:pt>
                <c:pt idx="557">
                  <c:v>1075.1524669059713</c:v>
                </c:pt>
                <c:pt idx="558">
                  <c:v>1078.9775553513787</c:v>
                </c:pt>
                <c:pt idx="559">
                  <c:v>1082.8075333129789</c:v>
                </c:pt>
                <c:pt idx="560">
                  <c:v>1086.6423790683671</c:v>
                </c:pt>
                <c:pt idx="561">
                  <c:v>1090.4820709205869</c:v>
                </c:pt>
                <c:pt idx="562">
                  <c:v>1094.3265871983681</c:v>
                </c:pt>
                <c:pt idx="563">
                  <c:v>1098.1759062563633</c:v>
                </c:pt>
                <c:pt idx="564">
                  <c:v>1102.0300064753831</c:v>
                </c:pt>
                <c:pt idx="565">
                  <c:v>1105.8888662626268</c:v>
                </c:pt>
                <c:pt idx="566">
                  <c:v>1109.7524640519139</c:v>
                </c:pt>
                <c:pt idx="567">
                  <c:v>1113.6207783039104</c:v>
                </c:pt>
                <c:pt idx="568">
                  <c:v>1117.4937875063551</c:v>
                </c:pt>
                <c:pt idx="569">
                  <c:v>1121.3714701742833</c:v>
                </c:pt>
                <c:pt idx="570">
                  <c:v>1125.253804850247</c:v>
                </c:pt>
                <c:pt idx="571">
                  <c:v>1129.1407701045343</c:v>
                </c:pt>
                <c:pt idx="572">
                  <c:v>1133.0323445353863</c:v>
                </c:pt>
                <c:pt idx="573">
                  <c:v>1136.9285067692117</c:v>
                </c:pt>
                <c:pt idx="574">
                  <c:v>1140.8292354607991</c:v>
                </c:pt>
                <c:pt idx="575">
                  <c:v>1144.734509293527</c:v>
                </c:pt>
                <c:pt idx="576">
                  <c:v>1148.6443069795723</c:v>
                </c:pt>
                <c:pt idx="577">
                  <c:v>1152.5586072601161</c:v>
                </c:pt>
                <c:pt idx="578">
                  <c:v>1156.4773889055473</c:v>
                </c:pt>
                <c:pt idx="579">
                  <c:v>1160.400630715664</c:v>
                </c:pt>
                <c:pt idx="580">
                  <c:v>1164.3283115198733</c:v>
                </c:pt>
                <c:pt idx="581">
                  <c:v>1168.2604101773886</c:v>
                </c:pt>
                <c:pt idx="582">
                  <c:v>1172.1969055774241</c:v>
                </c:pt>
                <c:pt idx="583">
                  <c:v>1176.1377766393882</c:v>
                </c:pt>
                <c:pt idx="584">
                  <c:v>1180.0830023130745</c:v>
                </c:pt>
                <c:pt idx="585">
                  <c:v>1184.0325615788502</c:v>
                </c:pt>
                <c:pt idx="586">
                  <c:v>1187.9864334478423</c:v>
                </c:pt>
                <c:pt idx="587">
                  <c:v>1191.9445969621229</c:v>
                </c:pt>
                <c:pt idx="588">
                  <c:v>1195.9070311948908</c:v>
                </c:pt>
                <c:pt idx="589">
                  <c:v>1199.8737152506517</c:v>
                </c:pt>
                <c:pt idx="590">
                  <c:v>1203.8446282653968</c:v>
                </c:pt>
                <c:pt idx="591">
                  <c:v>1207.8197494067781</c:v>
                </c:pt>
                <c:pt idx="592">
                  <c:v>1211.7990578742827</c:v>
                </c:pt>
                <c:pt idx="593">
                  <c:v>1215.7825328994043</c:v>
                </c:pt>
                <c:pt idx="594">
                  <c:v>1219.7701537458129</c:v>
                </c:pt>
                <c:pt idx="595">
                  <c:v>1223.7618997095224</c:v>
                </c:pt>
                <c:pt idx="596">
                  <c:v>1227.757750119056</c:v>
                </c:pt>
                <c:pt idx="597">
                  <c:v>1231.7576843356101</c:v>
                </c:pt>
                <c:pt idx="598">
                  <c:v>1235.7616817532146</c:v>
                </c:pt>
                <c:pt idx="599">
                  <c:v>1239.7697217988934</c:v>
                </c:pt>
                <c:pt idx="600">
                  <c:v>1243.7817839328206</c:v>
                </c:pt>
                <c:pt idx="601">
                  <c:v>1247.7978476484764</c:v>
                </c:pt>
                <c:pt idx="602">
                  <c:v>1251.8178924727995</c:v>
                </c:pt>
                <c:pt idx="603">
                  <c:v>1255.841897966339</c:v>
                </c:pt>
                <c:pt idx="604">
                  <c:v>1259.8698437234027</c:v>
                </c:pt>
                <c:pt idx="605">
                  <c:v>1263.9017093722046</c:v>
                </c:pt>
                <c:pt idx="606">
                  <c:v>1267.9374745750094</c:v>
                </c:pt>
                <c:pt idx="607">
                  <c:v>1271.9771190282763</c:v>
                </c:pt>
                <c:pt idx="608">
                  <c:v>1276.0206224627989</c:v>
                </c:pt>
                <c:pt idx="609">
                  <c:v>1280.067964643845</c:v>
                </c:pt>
                <c:pt idx="610">
                  <c:v>1284.1191253712932</c:v>
                </c:pt>
                <c:pt idx="611">
                  <c:v>1288.1740844797682</c:v>
                </c:pt>
                <c:pt idx="612">
                  <c:v>1292.2328159011945</c:v>
                </c:pt>
                <c:pt idx="613">
                  <c:v>1296.2952876749196</c:v>
                </c:pt>
                <c:pt idx="614">
                  <c:v>1300.3614678954825</c:v>
                </c:pt>
                <c:pt idx="615">
                  <c:v>1304.4313247128759</c:v>
                </c:pt>
                <c:pt idx="616">
                  <c:v>1308.5048263328038</c:v>
                </c:pt>
                <c:pt idx="617">
                  <c:v>1312.5819410169356</c:v>
                </c:pt>
                <c:pt idx="618">
                  <c:v>1316.6626370831552</c:v>
                </c:pt>
                <c:pt idx="619">
                  <c:v>1320.7468829058062</c:v>
                </c:pt>
                <c:pt idx="620">
                  <c:v>1324.8346469159328</c:v>
                </c:pt>
                <c:pt idx="621">
                  <c:v>1328.9258976015165</c:v>
                </c:pt>
                <c:pt idx="622">
                  <c:v>1333.0206035077085</c:v>
                </c:pt>
                <c:pt idx="623">
                  <c:v>1337.1187332370578</c:v>
                </c:pt>
                <c:pt idx="624">
                  <c:v>1341.2202554497353</c:v>
                </c:pt>
                <c:pt idx="625">
                  <c:v>1345.3251388637539</c:v>
                </c:pt>
                <c:pt idx="626">
                  <c:v>1349.433352255184</c:v>
                </c:pt>
                <c:pt idx="627">
                  <c:v>1353.5448644583653</c:v>
                </c:pt>
                <c:pt idx="628">
                  <c:v>1357.6596443661144</c:v>
                </c:pt>
                <c:pt idx="629">
                  <c:v>1361.7776609299278</c:v>
                </c:pt>
                <c:pt idx="630">
                  <c:v>1365.8988831601821</c:v>
                </c:pt>
                <c:pt idx="631">
                  <c:v>1370.0232801263282</c:v>
                </c:pt>
                <c:pt idx="632">
                  <c:v>1374.1508209570841</c:v>
                </c:pt>
                <c:pt idx="633">
                  <c:v>1378.2814748406211</c:v>
                </c:pt>
                <c:pt idx="634">
                  <c:v>1382.4152110247474</c:v>
                </c:pt>
                <c:pt idx="635">
                  <c:v>1386.5519988170877</c:v>
                </c:pt>
                <c:pt idx="636">
                  <c:v>1390.6918075852589</c:v>
                </c:pt>
                <c:pt idx="637">
                  <c:v>1394.8346067570405</c:v>
                </c:pt>
                <c:pt idx="638">
                  <c:v>1398.980365820544</c:v>
                </c:pt>
                <c:pt idx="639">
                  <c:v>1403.1290543243749</c:v>
                </c:pt>
                <c:pt idx="640">
                  <c:v>1407.2806418777936</c:v>
                </c:pt>
                <c:pt idx="641">
                  <c:v>1411.4350981508712</c:v>
                </c:pt>
                <c:pt idx="642">
                  <c:v>1415.592392874642</c:v>
                </c:pt>
                <c:pt idx="643">
                  <c:v>1419.7524958412516</c:v>
                </c:pt>
                <c:pt idx="644">
                  <c:v>1423.9153769041015</c:v>
                </c:pt>
                <c:pt idx="645">
                  <c:v>1428.0810059779908</c:v>
                </c:pt>
                <c:pt idx="646">
                  <c:v>1432.2493365822081</c:v>
                </c:pt>
                <c:pt idx="647">
                  <c:v>1436.4203040432988</c:v>
                </c:pt>
                <c:pt idx="648">
                  <c:v>1440.593841988584</c:v>
                </c:pt>
                <c:pt idx="649">
                  <c:v>1444.7698841802992</c:v>
                </c:pt>
                <c:pt idx="650">
                  <c:v>1448.9483645163125</c:v>
                </c:pt>
                <c:pt idx="651">
                  <c:v>1453.1292170308272</c:v>
                </c:pt>
                <c:pt idx="652">
                  <c:v>1457.3123758950676</c:v>
                </c:pt>
                <c:pt idx="653">
                  <c:v>1461.4977754179488</c:v>
                </c:pt>
                <c:pt idx="654">
                  <c:v>1465.6853500467309</c:v>
                </c:pt>
                <c:pt idx="655">
                  <c:v>1469.8750343676566</c:v>
                </c:pt>
                <c:pt idx="656">
                  <c:v>1474.0667631065728</c:v>
                </c:pt>
                <c:pt idx="657">
                  <c:v>1478.2604711295382</c:v>
                </c:pt>
                <c:pt idx="658">
                  <c:v>1482.456093443413</c:v>
                </c:pt>
                <c:pt idx="659">
                  <c:v>1486.6535651964339</c:v>
                </c:pt>
                <c:pt idx="660">
                  <c:v>1490.8528216787743</c:v>
                </c:pt>
                <c:pt idx="661">
                  <c:v>1495.0537983230879</c:v>
                </c:pt>
                <c:pt idx="662">
                  <c:v>1499.2564307050384</c:v>
                </c:pt>
                <c:pt idx="663">
                  <c:v>1503.4606545438126</c:v>
                </c:pt>
                <c:pt idx="664">
                  <c:v>1507.6664057026198</c:v>
                </c:pt>
                <c:pt idx="665">
                  <c:v>1511.8736201891752</c:v>
                </c:pt>
                <c:pt idx="666">
                  <c:v>1516.0821992991389</c:v>
                </c:pt>
                <c:pt idx="667">
                  <c:v>1520.292000976702</c:v>
                </c:pt>
                <c:pt idx="668">
                  <c:v>1524.5028747730146</c:v>
                </c:pt>
                <c:pt idx="669">
                  <c:v>1528.7146705889572</c:v>
                </c:pt>
                <c:pt idx="670">
                  <c:v>1532.9272386785649</c:v>
                </c:pt>
                <c:pt idx="671">
                  <c:v>1537.1404296523685</c:v>
                </c:pt>
                <c:pt idx="672">
                  <c:v>1541.3540944806548</c:v>
                </c:pt>
                <c:pt idx="673">
                  <c:v>1545.5680844966464</c:v>
                </c:pt>
                <c:pt idx="674">
                  <c:v>1549.7822513996</c:v>
                </c:pt>
                <c:pt idx="675">
                  <c:v>1553.9964472578258</c:v>
                </c:pt>
                <c:pt idx="676">
                  <c:v>1558.2105245116265</c:v>
                </c:pt>
                <c:pt idx="677">
                  <c:v>1562.4243359761572</c:v>
                </c:pt>
                <c:pt idx="678">
                  <c:v>1566.6377348442065</c:v>
                </c:pt>
                <c:pt idx="679">
                  <c:v>1570.8505746889007</c:v>
                </c:pt>
                <c:pt idx="680">
                  <c:v>1575.0627094663278</c:v>
                </c:pt>
                <c:pt idx="681">
                  <c:v>1579.2739935180871</c:v>
                </c:pt>
                <c:pt idx="682">
                  <c:v>1583.4842815737602</c:v>
                </c:pt>
                <c:pt idx="683">
                  <c:v>1587.6934287533063</c:v>
                </c:pt>
                <c:pt idx="684">
                  <c:v>1591.9012905693828</c:v>
                </c:pt>
                <c:pt idx="685">
                  <c:v>1596.1077229295893</c:v>
                </c:pt>
                <c:pt idx="686">
                  <c:v>1600.3125821386388</c:v>
                </c:pt>
                <c:pt idx="687">
                  <c:v>1604.515724900454</c:v>
                </c:pt>
                <c:pt idx="688">
                  <c:v>1608.7170083201902</c:v>
                </c:pt>
                <c:pt idx="689">
                  <c:v>1612.9162899061864</c:v>
                </c:pt>
                <c:pt idx="690">
                  <c:v>1617.1134275718439</c:v>
                </c:pt>
                <c:pt idx="691">
                  <c:v>1621.3082796374324</c:v>
                </c:pt>
                <c:pt idx="692">
                  <c:v>1625.5007048318271</c:v>
                </c:pt>
                <c:pt idx="693">
                  <c:v>1629.6905622941738</c:v>
                </c:pt>
                <c:pt idx="694">
                  <c:v>1633.8777115754863</c:v>
                </c:pt>
                <c:pt idx="695">
                  <c:v>1638.0620126401725</c:v>
                </c:pt>
                <c:pt idx="696">
                  <c:v>1642.2433258674946</c:v>
                </c:pt>
                <c:pt idx="697">
                  <c:v>1646.4215120529598</c:v>
                </c:pt>
                <c:pt idx="698">
                  <c:v>1650.5964324096451</c:v>
                </c:pt>
                <c:pt idx="699">
                  <c:v>1654.7679485694553</c:v>
                </c:pt>
                <c:pt idx="700">
                  <c:v>1658.9359225843154</c:v>
                </c:pt>
                <c:pt idx="701">
                  <c:v>1663.1002169272988</c:v>
                </c:pt>
                <c:pt idx="702">
                  <c:v>1667.2606944936897</c:v>
                </c:pt>
                <c:pt idx="703">
                  <c:v>1671.4172186019837</c:v>
                </c:pt>
                <c:pt idx="704">
                  <c:v>1675.5696529948236</c:v>
                </c:pt>
                <c:pt idx="705">
                  <c:v>1679.7178618398755</c:v>
                </c:pt>
                <c:pt idx="706">
                  <c:v>1683.8617097306403</c:v>
                </c:pt>
                <c:pt idx="707">
                  <c:v>1688.0010616872073</c:v>
                </c:pt>
                <c:pt idx="708">
                  <c:v>1692.1357822127266</c:v>
                </c:pt>
                <c:pt idx="709">
                  <c:v>1696.2657267977622</c:v>
                </c:pt>
                <c:pt idx="710">
                  <c:v>1700.3907428978966</c:v>
                </c:pt>
                <c:pt idx="711">
                  <c:v>1704.5106784636366</c:v>
                </c:pt>
                <c:pt idx="712">
                  <c:v>1708.6253819414571</c:v>
                </c:pt>
                <c:pt idx="713">
                  <c:v>1712.7347022747686</c:v>
                </c:pt>
                <c:pt idx="714">
                  <c:v>1716.8384889048079</c:v>
                </c:pt>
                <c:pt idx="715">
                  <c:v>1720.9365917714547</c:v>
                </c:pt>
                <c:pt idx="716">
                  <c:v>1725.0288613139726</c:v>
                </c:pt>
                <c:pt idx="717">
                  <c:v>1729.1151484716786</c:v>
                </c:pt>
                <c:pt idx="718">
                  <c:v>1733.1953046845385</c:v>
                </c:pt>
                <c:pt idx="719">
                  <c:v>1737.2691818936921</c:v>
                </c:pt>
                <c:pt idx="720">
                  <c:v>1741.3366325419074</c:v>
                </c:pt>
                <c:pt idx="721">
                  <c:v>1745.3975095739654</c:v>
                </c:pt>
                <c:pt idx="722">
                  <c:v>1749.4516664369769</c:v>
                </c:pt>
                <c:pt idx="723">
                  <c:v>1753.4989570806304</c:v>
                </c:pt>
                <c:pt idx="724">
                  <c:v>1757.5392359573743</c:v>
                </c:pt>
                <c:pt idx="725">
                  <c:v>1761.5722381298976</c:v>
                </c:pt>
                <c:pt idx="726">
                  <c:v>1765.5975283828532</c:v>
                </c:pt>
                <c:pt idx="727">
                  <c:v>1769.6148788286596</c:v>
                </c:pt>
                <c:pt idx="728">
                  <c:v>1773.6243194517308</c:v>
                </c:pt>
                <c:pt idx="729">
                  <c:v>1777.6258800519868</c:v>
                </c:pt>
                <c:pt idx="730">
                  <c:v>1781.6195902463794</c:v>
                </c:pt>
                <c:pt idx="731">
                  <c:v>1785.6054794704039</c:v>
                </c:pt>
                <c:pt idx="732">
                  <c:v>1789.5835769795935</c:v>
                </c:pt>
                <c:pt idx="733">
                  <c:v>1793.5539118509996</c:v>
                </c:pt>
                <c:pt idx="734">
                  <c:v>1797.5165129846557</c:v>
                </c:pt>
                <c:pt idx="735">
                  <c:v>1801.4714091050266</c:v>
                </c:pt>
                <c:pt idx="736">
                  <c:v>1805.4186287624429</c:v>
                </c:pt>
                <c:pt idx="737">
                  <c:v>1809.3582003345207</c:v>
                </c:pt>
                <c:pt idx="738">
                  <c:v>1813.2901520275661</c:v>
                </c:pt>
                <c:pt idx="739">
                  <c:v>1817.2145118779667</c:v>
                </c:pt>
                <c:pt idx="740">
                  <c:v>1821.1313077535674</c:v>
                </c:pt>
                <c:pt idx="741">
                  <c:v>1825.0405673550333</c:v>
                </c:pt>
                <c:pt idx="742">
                  <c:v>1828.9423182171979</c:v>
                </c:pt>
                <c:pt idx="743">
                  <c:v>1832.8365877103984</c:v>
                </c:pt>
                <c:pt idx="744">
                  <c:v>1836.7234030417969</c:v>
                </c:pt>
                <c:pt idx="745">
                  <c:v>1840.6027912566888</c:v>
                </c:pt>
                <c:pt idx="746">
                  <c:v>1844.4747792397973</c:v>
                </c:pt>
                <c:pt idx="747">
                  <c:v>1848.3393937165556</c:v>
                </c:pt>
                <c:pt idx="748">
                  <c:v>1852.1966612543758</c:v>
                </c:pt>
                <c:pt idx="749">
                  <c:v>1856.0466082639052</c:v>
                </c:pt>
                <c:pt idx="750">
                  <c:v>1859.8892610002699</c:v>
                </c:pt>
                <c:pt idx="751">
                  <c:v>1863.7246455643065</c:v>
                </c:pt>
                <c:pt idx="752">
                  <c:v>1867.5527879037809</c:v>
                </c:pt>
                <c:pt idx="753">
                  <c:v>1871.3737138145955</c:v>
                </c:pt>
                <c:pt idx="754">
                  <c:v>1875.187448941984</c:v>
                </c:pt>
                <c:pt idx="755">
                  <c:v>1878.9940187816949</c:v>
                </c:pt>
                <c:pt idx="756">
                  <c:v>1882.7934486811625</c:v>
                </c:pt>
                <c:pt idx="757">
                  <c:v>1886.5857638406674</c:v>
                </c:pt>
                <c:pt idx="758">
                  <c:v>1890.3709893144846</c:v>
                </c:pt>
                <c:pt idx="759">
                  <c:v>1894.1491500120212</c:v>
                </c:pt>
                <c:pt idx="760">
                  <c:v>1897.9202706989424</c:v>
                </c:pt>
                <c:pt idx="761">
                  <c:v>1901.6843759982867</c:v>
                </c:pt>
                <c:pt idx="762">
                  <c:v>1905.4414903915695</c:v>
                </c:pt>
                <c:pt idx="763">
                  <c:v>1909.1916382198779</c:v>
                </c:pt>
                <c:pt idx="764">
                  <c:v>1912.9348436849527</c:v>
                </c:pt>
                <c:pt idx="765">
                  <c:v>1916.6711308502611</c:v>
                </c:pt>
                <c:pt idx="766">
                  <c:v>1920.4005236420583</c:v>
                </c:pt>
                <c:pt idx="767">
                  <c:v>1924.1230458504399</c:v>
                </c:pt>
                <c:pt idx="768">
                  <c:v>1927.8387211303832</c:v>
                </c:pt>
                <c:pt idx="769">
                  <c:v>1931.5475730027786</c:v>
                </c:pt>
                <c:pt idx="770">
                  <c:v>1935.2496248554519</c:v>
                </c:pt>
                <c:pt idx="771">
                  <c:v>1938.9448999441754</c:v>
                </c:pt>
                <c:pt idx="772">
                  <c:v>1942.6334213936709</c:v>
                </c:pt>
                <c:pt idx="773">
                  <c:v>1946.3152121986022</c:v>
                </c:pt>
                <c:pt idx="774">
                  <c:v>1949.9902952245577</c:v>
                </c:pt>
                <c:pt idx="775">
                  <c:v>1953.6586932090252</c:v>
                </c:pt>
                <c:pt idx="776">
                  <c:v>1957.320428762356</c:v>
                </c:pt>
                <c:pt idx="777">
                  <c:v>1960.9755243687202</c:v>
                </c:pt>
                <c:pt idx="778">
                  <c:v>1964.6240023870541</c:v>
                </c:pt>
                <c:pt idx="779">
                  <c:v>1968.2658850519965</c:v>
                </c:pt>
                <c:pt idx="780">
                  <c:v>1971.9011944748181</c:v>
                </c:pt>
                <c:pt idx="781">
                  <c:v>1975.5299526443418</c:v>
                </c:pt>
                <c:pt idx="782">
                  <c:v>1979.1521814278535</c:v>
                </c:pt>
                <c:pt idx="783">
                  <c:v>1982.7679025720051</c:v>
                </c:pt>
                <c:pt idx="784">
                  <c:v>1986.377137703709</c:v>
                </c:pt>
                <c:pt idx="785">
                  <c:v>1989.9799083310238</c:v>
                </c:pt>
                <c:pt idx="786">
                  <c:v>1993.5762358440329</c:v>
                </c:pt>
                <c:pt idx="787">
                  <c:v>1997.1661415157134</c:v>
                </c:pt>
                <c:pt idx="788">
                  <c:v>2000.749646502798</c:v>
                </c:pt>
                <c:pt idx="789">
                  <c:v>2004.3267718466284</c:v>
                </c:pt>
                <c:pt idx="790">
                  <c:v>2007.8975384740017</c:v>
                </c:pt>
                <c:pt idx="791">
                  <c:v>2011.4619671980076</c:v>
                </c:pt>
                <c:pt idx="792">
                  <c:v>2015.0200787188592</c:v>
                </c:pt>
                <c:pt idx="793">
                  <c:v>2018.5718936247149</c:v>
                </c:pt>
                <c:pt idx="794">
                  <c:v>2022.1174323924945</c:v>
                </c:pt>
                <c:pt idx="795">
                  <c:v>2025.6567153886858</c:v>
                </c:pt>
                <c:pt idx="796">
                  <c:v>2029.1897628701458</c:v>
                </c:pt>
                <c:pt idx="797">
                  <c:v>2032.7165949848929</c:v>
                </c:pt>
                <c:pt idx="798">
                  <c:v>2036.237231772893</c:v>
                </c:pt>
                <c:pt idx="799">
                  <c:v>2039.7516931668379</c:v>
                </c:pt>
                <c:pt idx="800">
                  <c:v>2043.2599989929172</c:v>
                </c:pt>
                <c:pt idx="801">
                  <c:v>2078.0060281708388</c:v>
                </c:pt>
                <c:pt idx="802">
                  <c:v>2112.1491323008649</c:v>
                </c:pt>
                <c:pt idx="803">
                  <c:v>2145.7081616910705</c:v>
                </c:pt>
                <c:pt idx="804">
                  <c:v>2178.7009966273408</c:v>
                </c:pt>
                <c:pt idx="805">
                  <c:v>2211.1446135806937</c:v>
                </c:pt>
                <c:pt idx="806">
                  <c:v>2243.0551458048767</c:v>
                </c:pt>
                <c:pt idx="807">
                  <c:v>2274.4479388887657</c:v>
                </c:pt>
                <c:pt idx="808">
                  <c:v>2305.3376017625756</c:v>
                </c:pt>
                <c:pt idx="809">
                  <c:v>2335.7380535999819</c:v>
                </c:pt>
                <c:pt idx="810">
                  <c:v>2365.6625670086482</c:v>
                </c:pt>
                <c:pt idx="811">
                  <c:v>2395.1238078583497</c:v>
                </c:pt>
                <c:pt idx="812">
                  <c:v>2424.1338720579597</c:v>
                </c:pt>
                <c:pt idx="813">
                  <c:v>2452.7043195593083</c:v>
                </c:pt>
                <c:pt idx="814">
                  <c:v>2480.8462058366677</c:v>
                </c:pt>
                <c:pt idx="815">
                  <c:v>2508.5701110648524</c:v>
                </c:pt>
                <c:pt idx="816">
                  <c:v>2535.8861671961658</c:v>
                </c:pt>
                <c:pt idx="817">
                  <c:v>2562.8040831162975</c:v>
                </c:pt>
                <c:pt idx="818">
                  <c:v>2589.3331680414367</c:v>
                </c:pt>
                <c:pt idx="819">
                  <c:v>2615.4823533030199</c:v>
                </c:pt>
                <c:pt idx="820">
                  <c:v>2641.2602126524462</c:v>
                </c:pt>
                <c:pt idx="821">
                  <c:v>2666.6749812055318</c:v>
                </c:pt>
                <c:pt idx="822">
                  <c:v>2691.7345731352621</c:v>
                </c:pt>
                <c:pt idx="823">
                  <c:v>2716.446598211387</c:v>
                </c:pt>
                <c:pt idx="824">
                  <c:v>2740.8183772764237</c:v>
                </c:pt>
                <c:pt idx="825">
                  <c:v>2764.856956739583</c:v>
                </c:pt>
                <c:pt idx="826">
                  <c:v>2788.5691221629049</c:v>
                </c:pt>
                <c:pt idx="827">
                  <c:v>2811.9614110073899</c:v>
                </c:pt>
                <c:pt idx="828">
                  <c:v>2835.040124601046</c:v>
                </c:pt>
                <c:pt idx="829">
                  <c:v>2857.8113393854924</c:v>
                </c:pt>
                <c:pt idx="830">
                  <c:v>2880.280917492983</c:v>
                </c:pt>
                <c:pt idx="831">
                  <c:v>2902.4545167013976</c:v>
                </c:pt>
                <c:pt idx="832">
                  <c:v>2924.3375998108363</c:v>
                </c:pt>
                <c:pt idx="833">
                  <c:v>2945.9354434819061</c:v>
                </c:pt>
                <c:pt idx="834">
                  <c:v>2967.2531465725715</c:v>
                </c:pt>
                <c:pt idx="835">
                  <c:v>2988.2956380075125</c:v>
                </c:pt>
                <c:pt idx="836">
                  <c:v>3009.0676842112707</c:v>
                </c:pt>
                <c:pt idx="837">
                  <c:v>3029.5738961340426</c:v>
                </c:pt>
                <c:pt idx="838">
                  <c:v>3049.8187358967552</c:v>
                </c:pt>
                <c:pt idx="839">
                  <c:v>3069.8065230800562</c:v>
                </c:pt>
                <c:pt idx="840">
                  <c:v>3089.5414406799864</c:v>
                </c:pt>
                <c:pt idx="841">
                  <c:v>3109.0275407514282</c:v>
                </c:pt>
                <c:pt idx="842">
                  <c:v>3128.2687497588645</c:v>
                </c:pt>
                <c:pt idx="843">
                  <c:v>3147.2688736525733</c:v>
                </c:pt>
                <c:pt idx="844">
                  <c:v>3166.0316026870764</c:v>
                </c:pt>
                <c:pt idx="845">
                  <c:v>3184.5605159974684</c:v>
                </c:pt>
                <c:pt idx="846">
                  <c:v>3202.8590859481506</c:v>
                </c:pt>
                <c:pt idx="847">
                  <c:v>3220.9306822674848</c:v>
                </c:pt>
                <c:pt idx="848">
                  <c:v>3238.7785759809522</c:v>
                </c:pt>
                <c:pt idx="849">
                  <c:v>3256.4059431545388</c:v>
                </c:pt>
                <c:pt idx="850">
                  <c:v>3273.8158684592868</c:v>
                </c:pt>
                <c:pt idx="851">
                  <c:v>3291.0113485672064</c:v>
                </c:pt>
                <c:pt idx="852">
                  <c:v>3307.9952953880829</c:v>
                </c:pt>
                <c:pt idx="853">
                  <c:v>3324.7705391560735</c:v>
                </c:pt>
                <c:pt idx="854">
                  <c:v>3341.3398313744233</c:v>
                </c:pt>
                <c:pt idx="855">
                  <c:v>3357.7058476260854</c:v>
                </c:pt>
                <c:pt idx="856">
                  <c:v>3373.8711902575387</c:v>
                </c:pt>
                <c:pt idx="857">
                  <c:v>3389.8383909426329</c:v>
                </c:pt>
                <c:pt idx="858">
                  <c:v>3405.6099131328679</c:v>
                </c:pt>
                <c:pt idx="859">
                  <c:v>3421.1881544001117</c:v>
                </c:pt>
                <c:pt idx="860">
                  <c:v>3436.5754486773963</c:v>
                </c:pt>
                <c:pt idx="861">
                  <c:v>3451.7740684030882</c:v>
                </c:pt>
                <c:pt idx="862">
                  <c:v>3466.7862265734057</c:v>
                </c:pt>
                <c:pt idx="863">
                  <c:v>3481.6140787079644</c:v>
                </c:pt>
                <c:pt idx="864">
                  <c:v>3496.259724732749</c:v>
                </c:pt>
                <c:pt idx="865">
                  <c:v>3510.7252107846566</c:v>
                </c:pt>
                <c:pt idx="866">
                  <c:v>3525.0125309415107</c:v>
                </c:pt>
                <c:pt idx="867">
                  <c:v>3539.1236288812202</c:v>
                </c:pt>
                <c:pt idx="868">
                  <c:v>3553.0603994735529</c:v>
                </c:pt>
                <c:pt idx="869">
                  <c:v>3566.8246903077898</c:v>
                </c:pt>
                <c:pt idx="870">
                  <c:v>3580.4183031593416</c:v>
                </c:pt>
                <c:pt idx="871">
                  <c:v>3593.8429953982477</c:v>
                </c:pt>
                <c:pt idx="872">
                  <c:v>3607.1004813423015</c:v>
                </c:pt>
                <c:pt idx="873">
                  <c:v>3620.1924335574058</c:v>
                </c:pt>
                <c:pt idx="874">
                  <c:v>3633.1204841076169</c:v>
                </c:pt>
                <c:pt idx="875">
                  <c:v>3645.8862257572027</c:v>
                </c:pt>
                <c:pt idx="876">
                  <c:v>3658.4912131269157</c:v>
                </c:pt>
                <c:pt idx="877">
                  <c:v>3670.9369638065659</c:v>
                </c:pt>
                <c:pt idx="878">
                  <c:v>3683.2249594258692</c:v>
                </c:pt>
                <c:pt idx="879">
                  <c:v>3695.3566466854413</c:v>
                </c:pt>
                <c:pt idx="880">
                  <c:v>3707.3334383497104</c:v>
                </c:pt>
                <c:pt idx="881">
                  <c:v>3719.1567142034351</c:v>
                </c:pt>
                <c:pt idx="882">
                  <c:v>3730.827821973422</c:v>
                </c:pt>
                <c:pt idx="883">
                  <c:v>3742.3480782169599</c:v>
                </c:pt>
                <c:pt idx="884">
                  <c:v>3753.7187691784125</c:v>
                </c:pt>
                <c:pt idx="885">
                  <c:v>3764.9411516153359</c:v>
                </c:pt>
                <c:pt idx="886">
                  <c:v>3776.0164535954241</c:v>
                </c:pt>
                <c:pt idx="887">
                  <c:v>3786.9458752655169</c:v>
                </c:pt>
                <c:pt idx="888">
                  <c:v>3797.7305895938521</c:v>
                </c:pt>
                <c:pt idx="889">
                  <c:v>3808.3717430866759</c:v>
                </c:pt>
                <c:pt idx="890">
                  <c:v>3818.8704564802852</c:v>
                </c:pt>
                <c:pt idx="891">
                  <c:v>3829.2278254095122</c:v>
                </c:pt>
                <c:pt idx="892">
                  <c:v>3839.444921053625</c:v>
                </c:pt>
                <c:pt idx="893">
                  <c:v>3849.522790760564</c:v>
                </c:pt>
                <c:pt idx="894">
                  <c:v>3859.4624586503951</c:v>
                </c:pt>
                <c:pt idx="895">
                  <c:v>3869.264926198824</c:v>
                </c:pt>
                <c:pt idx="896">
                  <c:v>3878.9311728015687</c:v>
                </c:pt>
                <c:pt idx="897">
                  <c:v>3888.4621563203596</c:v>
                </c:pt>
                <c:pt idx="898">
                  <c:v>3897.8588136112994</c:v>
                </c:pt>
                <c:pt idx="899">
                  <c:v>3907.1220610362816</c:v>
                </c:pt>
                <c:pt idx="900">
                  <c:v>3916.2527949581363</c:v>
                </c:pt>
                <c:pt idx="901">
                  <c:v>3925.2518922201466</c:v>
                </c:pt>
                <c:pt idx="902">
                  <c:v>3934.1202106105443</c:v>
                </c:pt>
                <c:pt idx="903">
                  <c:v>3942.8585893125755</c:v>
                </c:pt>
                <c:pt idx="904">
                  <c:v>3951.4678493406968</c:v>
                </c:pt>
                <c:pt idx="905">
                  <c:v>3959.9487939634414</c:v>
                </c:pt>
                <c:pt idx="906">
                  <c:v>3968.3022091134726</c:v>
                </c:pt>
                <c:pt idx="907">
                  <c:v>3976.5288637853196</c:v>
                </c:pt>
                <c:pt idx="908">
                  <c:v>3984.6295104212741</c:v>
                </c:pt>
                <c:pt idx="909">
                  <c:v>3992.6048852859035</c:v>
                </c:pt>
                <c:pt idx="910">
                  <c:v>4000.4557088296215</c:v>
                </c:pt>
                <c:pt idx="911">
                  <c:v>4008.1826860417373</c:v>
                </c:pt>
                <c:pt idx="912">
                  <c:v>4015.7865067933944</c:v>
                </c:pt>
                <c:pt idx="913">
                  <c:v>4023.2678461707878</c:v>
                </c:pt>
                <c:pt idx="914">
                  <c:v>4030.6273647990361</c:v>
                </c:pt>
                <c:pt idx="915">
                  <c:v>4037.8657091570776</c:v>
                </c:pt>
                <c:pt idx="916">
                  <c:v>4044.9835118839364</c:v>
                </c:pt>
                <c:pt idx="917">
                  <c:v>4051.9813920767024</c:v>
                </c:pt>
                <c:pt idx="918">
                  <c:v>4058.8599555805486</c:v>
                </c:pt>
                <c:pt idx="919">
                  <c:v>4065.6197952711068</c:v>
                </c:pt>
                <c:pt idx="920">
                  <c:v>4072.2614913295051</c:v>
                </c:pt>
                <c:pt idx="921">
                  <c:v>4078.7856115103673</c:v>
                </c:pt>
                <c:pt idx="922">
                  <c:v>4085.1927114030586</c:v>
                </c:pt>
                <c:pt idx="923">
                  <c:v>4091.4833346864611</c:v>
                </c:pt>
                <c:pt idx="924">
                  <c:v>4097.6580133775451</c:v>
                </c:pt>
                <c:pt idx="925">
                  <c:v>4103.7172680740068</c:v>
                </c:pt>
                <c:pt idx="926">
                  <c:v>4109.6616081912189</c:v>
                </c:pt>
                <c:pt idx="927">
                  <c:v>4115.491532193756</c:v>
                </c:pt>
                <c:pt idx="928">
                  <c:v>4121.2075278217244</c:v>
                </c:pt>
                <c:pt idx="929">
                  <c:v>4126.8100723121424</c:v>
                </c:pt>
                <c:pt idx="930">
                  <c:v>4132.2996326156008</c:v>
                </c:pt>
                <c:pt idx="931">
                  <c:v>4137.6766656084264</c:v>
                </c:pt>
                <c:pt idx="932">
                  <c:v>4142.9416183005715</c:v>
                </c:pt>
                <c:pt idx="933">
                  <c:v>4148.0949280394434</c:v>
                </c:pt>
                <c:pt idx="934">
                  <c:v>4153.1370227098887</c:v>
                </c:pt>
                <c:pt idx="935">
                  <c:v>4158.0683209305334</c:v>
                </c:pt>
                <c:pt idx="936">
                  <c:v>4162.8892322466909</c:v>
                </c:pt>
                <c:pt idx="937">
                  <c:v>4167.6001573200238</c:v>
                </c:pt>
                <c:pt idx="938">
                  <c:v>4172.2014881151681</c:v>
                </c:pt>
                <c:pt idx="939">
                  <c:v>4176.6936080835012</c:v>
                </c:pt>
                <c:pt idx="940">
                  <c:v>4181.0768923442456</c:v>
                </c:pt>
                <c:pt idx="941">
                  <c:v>4185.3517078630948</c:v>
                </c:pt>
                <c:pt idx="942">
                  <c:v>4189.518413628537</c:v>
                </c:pt>
                <c:pt idx="943">
                  <c:v>4193.577360826057</c:v>
                </c:pt>
                <c:pt idx="944">
                  <c:v>4197.5288930103925</c:v>
                </c:pt>
                <c:pt idx="945">
                  <c:v>4201.3733462760119</c:v>
                </c:pt>
                <c:pt idx="946">
                  <c:v>4205.1110494259819</c:v>
                </c:pt>
                <c:pt idx="947">
                  <c:v>4208.7423241393899</c:v>
                </c:pt>
                <c:pt idx="948">
                  <c:v>4212.2674851374786</c:v>
                </c:pt>
                <c:pt idx="949">
                  <c:v>4215.6868403486478</c:v>
                </c:pt>
                <c:pt idx="950">
                  <c:v>4219.0006910724815</c:v>
                </c:pt>
                <c:pt idx="951">
                  <c:v>4222.2093321429347</c:v>
                </c:pt>
                <c:pt idx="952">
                  <c:v>4225.3130520908389</c:v>
                </c:pt>
                <c:pt idx="953">
                  <c:v>4228.3121333058443</c:v>
                </c:pt>
                <c:pt idx="954">
                  <c:v>4231.206852197949</c:v>
                </c:pt>
                <c:pt idx="955">
                  <c:v>4233.9974793587271</c:v>
                </c:pt>
                <c:pt idx="956">
                  <c:v>4236.6842797223835</c:v>
                </c:pt>
                <c:pt idx="957">
                  <c:v>4239.2675127267421</c:v>
                </c:pt>
                <c:pt idx="958">
                  <c:v>4241.7474324742816</c:v>
                </c:pt>
                <c:pt idx="959">
                  <c:v>4244.1242878933062</c:v>
                </c:pt>
                <c:pt idx="960">
                  <c:v>4246.3983228993511</c:v>
                </c:pt>
                <c:pt idx="961">
                  <c:v>4248.5697765568939</c:v>
                </c:pt>
                <c:pt idx="962">
                  <c:v>4250.638883241455</c:v>
                </c:pt>
                <c:pt idx="963">
                  <c:v>4252.6058728021362</c:v>
                </c:pt>
                <c:pt idx="964">
                  <c:v>4254.4709707246602</c:v>
                </c:pt>
                <c:pt idx="965">
                  <c:v>4256.2343982949451</c:v>
                </c:pt>
                <c:pt idx="966">
                  <c:v>4257.8963727632427</c:v>
                </c:pt>
                <c:pt idx="967">
                  <c:v>4259.4571075088616</c:v>
                </c:pt>
                <c:pt idx="968">
                  <c:v>4260.9168122054798</c:v>
                </c:pt>
                <c:pt idx="969">
                  <c:v>4262.2756929870375</c:v>
                </c:pt>
                <c:pt idx="970">
                  <c:v>4263.5339526141879</c:v>
                </c:pt>
                <c:pt idx="971">
                  <c:v>4264.6917906412782</c:v>
                </c:pt>
                <c:pt idx="972">
                  <c:v>4265.7494035838108</c:v>
                </c:pt>
                <c:pt idx="973">
                  <c:v>4266.7069850863254</c:v>
                </c:pt>
                <c:pt idx="974">
                  <c:v>4267.5647260906289</c:v>
                </c:pt>
                <c:pt idx="975">
                  <c:v>4268.3228150042869</c:v>
                </c:pt>
                <c:pt idx="976">
                  <c:v>4268.981437869279</c:v>
                </c:pt>
                <c:pt idx="977">
                  <c:v>4269.5407785307098</c:v>
                </c:pt>
                <c:pt idx="978">
                  <c:v>4270.0010188054439</c:v>
                </c:pt>
                <c:pt idx="979">
                  <c:v>4270.3623386505415</c:v>
                </c:pt>
                <c:pt idx="980">
                  <c:v>4270.624916331346</c:v>
                </c:pt>
                <c:pt idx="981">
                  <c:v>4270.7889285890678</c:v>
                </c:pt>
                <c:pt idx="982">
                  <c:v>4270.8545508077032</c:v>
                </c:pt>
                <c:pt idx="983">
                  <c:v>4270.8219571801219</c:v>
                </c:pt>
                <c:pt idx="984">
                  <c:v>4270.6913208731448</c:v>
                </c:pt>
                <c:pt idx="985">
                  <c:v>4270.4628141914263</c:v>
                </c:pt>
                <c:pt idx="986">
                  <c:v>4270.1366087399656</c:v>
                </c:pt>
                <c:pt idx="987">
                  <c:v>4269.7128755850508</c:v>
                </c:pt>
                <c:pt idx="988">
                  <c:v>4269.191785413449</c:v>
                </c:pt>
                <c:pt idx="989">
                  <c:v>4268.5735086896611</c:v>
                </c:pt>
                <c:pt idx="990">
                  <c:v>4267.858215811043</c:v>
                </c:pt>
                <c:pt idx="991">
                  <c:v>4267.0460772606157</c:v>
                </c:pt>
                <c:pt idx="992">
                  <c:v>4266.137263757385</c:v>
                </c:pt>
                <c:pt idx="993">
                  <c:v>4265.1319464039952</c:v>
                </c:pt>
                <c:pt idx="994">
                  <c:v>4264.0302968315455</c:v>
                </c:pt>
                <c:pt idx="995">
                  <c:v>4262.832487341414</c:v>
                </c:pt>
                <c:pt idx="996">
                  <c:v>4261.5386910439329</c:v>
                </c:pt>
                <c:pt idx="997">
                  <c:v>4260.1490819937799</c:v>
                </c:pt>
                <c:pt idx="998">
                  <c:v>4258.6638353219414</c:v>
                </c:pt>
                <c:pt idx="999">
                  <c:v>4257.0831273641406</c:v>
                </c:pt>
                <c:pt idx="1000">
                  <c:v>4255.4071357856101</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22</c:v>
                </c:pt>
                <c:pt idx="1">
                  <c:v>152.55155111371462</c:v>
                </c:pt>
                <c:pt idx="2">
                  <c:v>283.10310222742925</c:v>
                </c:pt>
                <c:pt idx="3">
                  <c:v>#N/A</c:v>
                </c:pt>
                <c:pt idx="4">
                  <c:v>283.10310222742925</c:v>
                </c:pt>
                <c:pt idx="5">
                  <c:v>#N/A</c:v>
                </c:pt>
                <c:pt idx="6">
                  <c:v>283.10310222742925</c:v>
                </c:pt>
              </c:numCache>
            </c:numRef>
          </c:xVal>
          <c:yVal>
            <c:numRef>
              <c:f>Trajecto!$C$132:$C$138</c:f>
              <c:numCache>
                <c:formatCode>0</c:formatCode>
                <c:ptCount val="7"/>
                <c:pt idx="0">
                  <c:v>4181.0768923442456</c:v>
                </c:pt>
                <c:pt idx="1">
                  <c:v>2090.5384461721228</c:v>
                </c:pt>
                <c:pt idx="2">
                  <c:v>0</c:v>
                </c:pt>
                <c:pt idx="3">
                  <c:v>#N/A</c:v>
                </c:pt>
                <c:pt idx="4">
                  <c:v>0</c:v>
                </c:pt>
                <c:pt idx="5">
                  <c:v>#N/A</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Calculs!$AE$4:$AE$1004</c:f>
              <c:numCache>
                <c:formatCode>0</c:formatCode>
                <c:ptCount val="1001"/>
                <c:pt idx="0">
                  <c:v>0</c:v>
                </c:pt>
                <c:pt idx="1">
                  <c:v>0</c:v>
                </c:pt>
                <c:pt idx="2">
                  <c:v>6.0020307963908244E-4</c:v>
                </c:pt>
                <c:pt idx="3">
                  <c:v>3.1064297722816271E-3</c:v>
                </c:pt>
                <c:pt idx="4">
                  <c:v>8.9304400737679878E-3</c:v>
                </c:pt>
                <c:pt idx="5">
                  <c:v>1.9213038171493942E-2</c:v>
                </c:pt>
                <c:pt idx="6">
                  <c:v>3.4551735190846859E-2</c:v>
                </c:pt>
                <c:pt idx="7">
                  <c:v>5.5272410308980426E-2</c:v>
                </c:pt>
                <c:pt idx="8">
                  <c:v>8.1701311614856109E-2</c:v>
                </c:pt>
                <c:pt idx="9">
                  <c:v>0.11409101034021218</c:v>
                </c:pt>
                <c:pt idx="10">
                  <c:v>0.15254622098685661</c:v>
                </c:pt>
                <c:pt idx="11">
                  <c:v>0.19709767448295912</c:v>
                </c:pt>
                <c:pt idx="12">
                  <c:v>0.24777611687929663</c:v>
                </c:pt>
                <c:pt idx="13">
                  <c:v>0.30461230917663479</c:v>
                </c:pt>
                <c:pt idx="14">
                  <c:v>0.36763702715105351</c:v>
                </c:pt>
                <c:pt idx="15">
                  <c:v>0.43688106117721259</c:v>
                </c:pt>
                <c:pt idx="16">
                  <c:v>0.51237521604955294</c:v>
                </c:pt>
                <c:pt idx="17">
                  <c:v>0.59415031080143055</c:v>
                </c:pt>
                <c:pt idx="18">
                  <c:v>0.68223717852217791</c:v>
                </c:pt>
                <c:pt idx="19">
                  <c:v>0.77666666617209035</c:v>
                </c:pt>
                <c:pt idx="20">
                  <c:v>0.87746963439533288</c:v>
                </c:pt>
                <c:pt idx="21">
                  <c:v>0.98467177246483362</c:v>
                </c:pt>
                <c:pt idx="22">
                  <c:v>1.0982858104545967</c:v>
                </c:pt>
                <c:pt idx="23">
                  <c:v>1.2183166870123663</c:v>
                </c:pt>
                <c:pt idx="24">
                  <c:v>1.344769319957301</c:v>
                </c:pt>
                <c:pt idx="25">
                  <c:v>1.4776486061968197</c:v>
                </c:pt>
                <c:pt idx="26">
                  <c:v>1.6169594216436829</c:v>
                </c:pt>
                <c:pt idx="27">
                  <c:v>1.7627066211333124</c:v>
                </c:pt>
                <c:pt idx="28">
                  <c:v>1.9148950383413548</c:v>
                </c:pt>
                <c:pt idx="29">
                  <c:v>2.0735294857014872</c:v>
                </c:pt>
                <c:pt idx="30">
                  <c:v>2.2386147543234749</c:v>
                </c:pt>
                <c:pt idx="31">
                  <c:v>2.4101556139114795</c:v>
                </c:pt>
                <c:pt idx="32">
                  <c:v>2.58815681268262</c:v>
                </c:pt>
                <c:pt idx="33">
                  <c:v>2.7726230772857963</c:v>
                </c:pt>
                <c:pt idx="34">
                  <c:v>2.9635591127207697</c:v>
                </c:pt>
                <c:pt idx="35">
                  <c:v>3.1609696022575111</c:v>
                </c:pt>
                <c:pt idx="36">
                  <c:v>3.3648592073558166</c:v>
                </c:pt>
                <c:pt idx="37">
                  <c:v>3.5752325675851915</c:v>
                </c:pt>
                <c:pt idx="38">
                  <c:v>3.792094300545013</c:v>
                </c:pt>
                <c:pt idx="39">
                  <c:v>4.0154490017849662</c:v>
                </c:pt>
                <c:pt idx="40">
                  <c:v>4.245268372254003</c:v>
                </c:pt>
                <c:pt idx="41">
                  <c:v>4.4815230598689961</c:v>
                </c:pt>
                <c:pt idx="42">
                  <c:v>4.7242155341504413</c:v>
                </c:pt>
                <c:pt idx="43">
                  <c:v>4.9733482628268959</c:v>
                </c:pt>
                <c:pt idx="44">
                  <c:v>5.2289237270389517</c:v>
                </c:pt>
                <c:pt idx="45">
                  <c:v>5.4909444197044968</c:v>
                </c:pt>
                <c:pt idx="46">
                  <c:v>5.7594139932198782</c:v>
                </c:pt>
                <c:pt idx="47">
                  <c:v>6.0343375462237931</c:v>
                </c:pt>
                <c:pt idx="48">
                  <c:v>6.315720474067315</c:v>
                </c:pt>
                <c:pt idx="49">
                  <c:v>6.6035681804072341</c:v>
                </c:pt>
                <c:pt idx="50">
                  <c:v>6.8978860760314129</c:v>
                </c:pt>
                <c:pt idx="51">
                  <c:v>7.1986795777479582</c:v>
                </c:pt>
                <c:pt idx="52">
                  <c:v>7.5059541073332108</c:v>
                </c:pt>
                <c:pt idx="53">
                  <c:v>7.8197150905340074</c:v>
                </c:pt>
                <c:pt idx="54">
                  <c:v>8.1399679561201346</c:v>
                </c:pt>
                <c:pt idx="55">
                  <c:v>8.4667181349832621</c:v>
                </c:pt>
                <c:pt idx="56">
                  <c:v>8.7999710592789864</c:v>
                </c:pt>
                <c:pt idx="57">
                  <c:v>9.1397321616089311</c:v>
                </c:pt>
                <c:pt idx="58">
                  <c:v>9.4860068742401058</c:v>
                </c:pt>
                <c:pt idx="59">
                  <c:v>9.8388006283589799</c:v>
                </c:pt>
                <c:pt idx="60">
                  <c:v>10.198118853357954</c:v>
                </c:pt>
                <c:pt idx="61">
                  <c:v>10.563966976152077</c:v>
                </c:pt>
                <c:pt idx="62">
                  <c:v>10.936350420524066</c:v>
                </c:pt>
                <c:pt idx="63">
                  <c:v>11.31527460649583</c:v>
                </c:pt>
                <c:pt idx="64">
                  <c:v>11.700744949724843</c:v>
                </c:pt>
                <c:pt idx="65">
                  <c:v>12.09276686092384</c:v>
                </c:pt>
                <c:pt idx="66">
                  <c:v>12.491345745302434</c:v>
                </c:pt>
                <c:pt idx="67">
                  <c:v>12.896487002029355</c:v>
                </c:pt>
                <c:pt idx="68">
                  <c:v>13.308196023714103</c:v>
                </c:pt>
                <c:pt idx="69">
                  <c:v>13.726495953160748</c:v>
                </c:pt>
                <c:pt idx="70">
                  <c:v>14.151435309654898</c:v>
                </c:pt>
                <c:pt idx="71">
                  <c:v>14.583070251808925</c:v>
                </c:pt>
                <c:pt idx="72">
                  <c:v>15.021456971123982</c:v>
                </c:pt>
                <c:pt idx="73">
                  <c:v>15.466651691976699</c:v>
                </c:pt>
                <c:pt idx="74">
                  <c:v>15.91871067159725</c:v>
                </c:pt>
                <c:pt idx="75">
                  <c:v>16.37769020003886</c:v>
                </c:pt>
                <c:pt idx="76">
                  <c:v>16.843646600138818</c:v>
                </c:pt>
                <c:pt idx="77">
                  <c:v>17.316603517890766</c:v>
                </c:pt>
                <c:pt idx="78">
                  <c:v>17.796537870571601</c:v>
                </c:pt>
                <c:pt idx="79">
                  <c:v>18.283412515329072</c:v>
                </c:pt>
                <c:pt idx="80">
                  <c:v>18.777190260060998</c:v>
                </c:pt>
                <c:pt idx="81">
                  <c:v>19.277833863478786</c:v>
                </c:pt>
                <c:pt idx="82">
                  <c:v>19.785306035198456</c:v>
                </c:pt>
                <c:pt idx="83">
                  <c:v>20.299569435857503</c:v>
                </c:pt>
                <c:pt idx="84">
                  <c:v>20.820586677256149</c:v>
                </c:pt>
                <c:pt idx="85">
                  <c:v>21.348320322521534</c:v>
                </c:pt>
                <c:pt idx="86">
                  <c:v>21.882737318809799</c:v>
                </c:pt>
                <c:pt idx="87">
                  <c:v>22.423826736940129</c:v>
                </c:pt>
                <c:pt idx="88">
                  <c:v>22.971595356504743</c:v>
                </c:pt>
                <c:pt idx="89">
                  <c:v>23.526049943819491</c:v>
                </c:pt>
                <c:pt idx="90">
                  <c:v>24.087197251647176</c:v>
                </c:pt>
                <c:pt idx="91">
                  <c:v>24.655044018926493</c:v>
                </c:pt>
                <c:pt idx="92">
                  <c:v>25.229596970506371</c:v>
                </c:pt>
                <c:pt idx="93">
                  <c:v>25.810862816885468</c:v>
                </c:pt>
                <c:pt idx="94">
                  <c:v>26.398848253956661</c:v>
                </c:pt>
                <c:pt idx="95">
                  <c:v>26.993559962756301</c:v>
                </c:pt>
                <c:pt idx="96">
                  <c:v>27.595004609218087</c:v>
                </c:pt>
                <c:pt idx="97">
                  <c:v>28.203188843931358</c:v>
                </c:pt>
                <c:pt idx="98">
                  <c:v>28.818119301903657</c:v>
                </c:pt>
                <c:pt idx="99">
                  <c:v>29.439802602327418</c:v>
                </c:pt>
                <c:pt idx="100">
                  <c:v>30.068245348350608</c:v>
                </c:pt>
                <c:pt idx="101">
                  <c:v>30.703454126851195</c:v>
                </c:pt>
                <c:pt idx="102">
                  <c:v>31.345435508215328</c:v>
                </c:pt>
                <c:pt idx="103">
                  <c:v>31.994196046119072</c:v>
                </c:pt>
                <c:pt idx="104">
                  <c:v>32.649742277313599</c:v>
                </c:pt>
                <c:pt idx="105">
                  <c:v>33.312080721413722</c:v>
                </c:pt>
                <c:pt idx="106">
                  <c:v>33.981217880689627</c:v>
                </c:pt>
                <c:pt idx="107">
                  <c:v>34.65716023986176</c:v>
                </c:pt>
                <c:pt idx="108">
                  <c:v>35.339914265898742</c:v>
                </c:pt>
                <c:pt idx="109">
                  <c:v>36.02948640781819</c:v>
                </c:pt>
                <c:pt idx="110">
                  <c:v>36.725883096490385</c:v>
                </c:pt>
                <c:pt idx="111">
                  <c:v>37.429110744444706</c:v>
                </c:pt>
                <c:pt idx="112">
                  <c:v>38.139175745678756</c:v>
                </c:pt>
                <c:pt idx="113">
                  <c:v>38.856084475470048</c:v>
                </c:pt>
                <c:pt idx="114">
                  <c:v>39.579843290190226</c:v>
                </c:pt>
                <c:pt idx="115">
                  <c:v>40.310458527121753</c:v>
                </c:pt>
                <c:pt idx="116">
                  <c:v>41.047936504276976</c:v>
                </c:pt>
                <c:pt idx="117">
                  <c:v>41.792283520219499</c:v>
                </c:pt>
                <c:pt idx="118">
                  <c:v>42.543505853887829</c:v>
                </c:pt>
                <c:pt idx="119">
                  <c:v>43.301609764421201</c:v>
                </c:pt>
                <c:pt idx="120">
                  <c:v>44.066601490987566</c:v>
                </c:pt>
                <c:pt idx="121">
                  <c:v>44.838487252613653</c:v>
                </c:pt>
                <c:pt idx="122">
                  <c:v>45.617273248017078</c:v>
                </c:pt>
                <c:pt idx="123">
                  <c:v>46.402965655440411</c:v>
                </c:pt>
                <c:pt idx="124">
                  <c:v>47.195570632487225</c:v>
                </c:pt>
                <c:pt idx="125">
                  <c:v>47.995094315959989</c:v>
                </c:pt>
                <c:pt idx="126">
                  <c:v>48.801542821699847</c:v>
                </c:pt>
                <c:pt idx="127">
                  <c:v>49.6149222444282</c:v>
                </c:pt>
                <c:pt idx="128">
                  <c:v>50.435238657590027</c:v>
                </c:pt>
                <c:pt idx="129">
                  <c:v>51.262498113198973</c:v>
                </c:pt>
                <c:pt idx="130">
                  <c:v>52.096706641684108</c:v>
                </c:pt>
                <c:pt idx="131">
                  <c:v>52.937870251738339</c:v>
                </c:pt>
                <c:pt idx="132">
                  <c:v>53.785994930168464</c:v>
                </c:pt>
                <c:pt idx="133">
                  <c:v>54.641086641746789</c:v>
                </c:pt>
                <c:pt idx="134">
                  <c:v>55.503151329064345</c:v>
                </c:pt>
                <c:pt idx="135">
                  <c:v>56.372194912385602</c:v>
                </c:pt>
                <c:pt idx="136">
                  <c:v>57.248223289504686</c:v>
                </c:pt>
                <c:pt idx="137">
                  <c:v>58.131242335603091</c:v>
                </c:pt>
                <c:pt idx="138">
                  <c:v>59.021257903108818</c:v>
                </c:pt>
                <c:pt idx="139">
                  <c:v>59.918275821556954</c:v>
                </c:pt>
                <c:pt idx="140">
                  <c:v>60.822301897451638</c:v>
                </c:pt>
                <c:pt idx="141">
                  <c:v>61.733341914129397</c:v>
                </c:pt>
                <c:pt idx="142">
                  <c:v>62.651401631623862</c:v>
                </c:pt>
                <c:pt idx="143">
                  <c:v>63.576486786531774</c:v>
                </c:pt>
                <c:pt idx="144">
                  <c:v>64.508603091880332</c:v>
                </c:pt>
                <c:pt idx="145">
                  <c:v>65.447756236995815</c:v>
                </c:pt>
                <c:pt idx="146">
                  <c:v>66.393951887373518</c:v>
                </c:pt>
                <c:pt idx="147">
                  <c:v>67.347195684548865</c:v>
                </c:pt>
                <c:pt idx="148">
                  <c:v>68.307493245969823</c:v>
                </c:pt>
                <c:pt idx="149">
                  <c:v>69.274850164870514</c:v>
                </c:pt>
                <c:pt idx="150">
                  <c:v>70.249272010146015</c:v>
                </c:pt>
                <c:pt idx="151">
                  <c:v>71.230764326228382</c:v>
                </c:pt>
                <c:pt idx="152">
                  <c:v>72.219332632963827</c:v>
                </c:pt>
                <c:pt idx="153">
                  <c:v>73.214982425491044</c:v>
                </c:pt>
                <c:pt idx="154">
                  <c:v>74.217719174120688</c:v>
                </c:pt>
                <c:pt idx="155">
                  <c:v>75.227548324216002</c:v>
                </c:pt>
                <c:pt idx="156">
                  <c:v>76.24447529607454</c:v>
                </c:pt>
                <c:pt idx="157">
                  <c:v>77.268505484811001</c:v>
                </c:pt>
                <c:pt idx="158">
                  <c:v>78.299644260241209</c:v>
                </c:pt>
                <c:pt idx="159">
                  <c:v>79.337896966767062</c:v>
                </c:pt>
                <c:pt idx="160">
                  <c:v>80.383268923262705</c:v>
                </c:pt>
                <c:pt idx="161">
                  <c:v>81.435765422961623</c:v>
                </c:pt>
                <c:pt idx="162">
                  <c:v>82.495391733344903</c:v>
                </c:pt>
                <c:pt idx="163">
                  <c:v>83.562153096030471</c:v>
                </c:pt>
                <c:pt idx="164">
                  <c:v>84.636054726663374</c:v>
                </c:pt>
                <c:pt idx="165">
                  <c:v>85.717101814807137</c:v>
                </c:pt>
                <c:pt idx="166">
                  <c:v>86.805299523836055</c:v>
                </c:pt>
                <c:pt idx="167">
                  <c:v>87.900652990828576</c:v>
                </c:pt>
                <c:pt idx="168">
                  <c:v>89.003167326461664</c:v>
                </c:pt>
                <c:pt idx="169">
                  <c:v>90.112847614906087</c:v>
                </c:pt>
                <c:pt idx="170">
                  <c:v>91.229698913722814</c:v>
                </c:pt>
                <c:pt idx="171">
                  <c:v>92.3537262537603</c:v>
                </c:pt>
                <c:pt idx="172">
                  <c:v>93.48493463905281</c:v>
                </c:pt>
                <c:pt idx="173">
                  <c:v>94.623329046719618</c:v>
                </c:pt>
                <c:pt idx="174">
                  <c:v>95.768914426865308</c:v>
                </c:pt>
                <c:pt idx="175">
                  <c:v>96.921695702480889</c:v>
                </c:pt>
                <c:pt idx="176">
                  <c:v>98.081677769345987</c:v>
                </c:pt>
                <c:pt idx="177">
                  <c:v>99.248865495931881</c:v>
                </c:pt>
                <c:pt idx="178">
                  <c:v>100.42326372330557</c:v>
                </c:pt>
                <c:pt idx="179">
                  <c:v>101.60487726503467</c:v>
                </c:pt>
                <c:pt idx="180">
                  <c:v>102.79371090709337</c:v>
                </c:pt>
                <c:pt idx="181">
                  <c:v>103.98976940776923</c:v>
                </c:pt>
                <c:pt idx="182">
                  <c:v>105.1930574975709</c:v>
                </c:pt>
                <c:pt idx="183">
                  <c:v>106.40357987913686</c:v>
                </c:pt>
                <c:pt idx="184">
                  <c:v>107.6213412271449</c:v>
                </c:pt>
                <c:pt idx="185">
                  <c:v>108.8463461882227</c:v>
                </c:pt>
                <c:pt idx="186">
                  <c:v>110.07859938085919</c:v>
                </c:pt>
                <c:pt idx="187">
                  <c:v>111.31810539531691</c:v>
                </c:pt>
                <c:pt idx="188">
                  <c:v>112.56486879354514</c:v>
                </c:pt>
                <c:pt idx="189">
                  <c:v>113.81889410909413</c:v>
                </c:pt>
                <c:pt idx="190">
                  <c:v>115.08018584703002</c:v>
                </c:pt>
                <c:pt idx="191">
                  <c:v>116.34874848385078</c:v>
                </c:pt>
                <c:pt idx="192">
                  <c:v>117.62458646740303</c:v>
                </c:pt>
                <c:pt idx="193">
                  <c:v>118.90770421679971</c:v>
                </c:pt>
                <c:pt idx="194">
                  <c:v>120.19810612233867</c:v>
                </c:pt>
                <c:pt idx="195">
                  <c:v>121.49579654542211</c:v>
                </c:pt>
                <c:pt idx="196">
                  <c:v>122.80077981847698</c:v>
                </c:pt>
                <c:pt idx="197">
                  <c:v>124.11306024487618</c:v>
                </c:pt>
                <c:pt idx="198">
                  <c:v>125.43264209886067</c:v>
                </c:pt>
                <c:pt idx="199">
                  <c:v>126.75952962546245</c:v>
                </c:pt>
                <c:pt idx="200">
                  <c:v>128.09372704042849</c:v>
                </c:pt>
                <c:pt idx="201">
                  <c:v>129.43523853014537</c:v>
                </c:pt>
                <c:pt idx="202">
                  <c:v>130.784068251565</c:v>
                </c:pt>
                <c:pt idx="203">
                  <c:v>132.14022033213104</c:v>
                </c:pt>
                <c:pt idx="204">
                  <c:v>133.50369886970631</c:v>
                </c:pt>
                <c:pt idx="205">
                  <c:v>134.87450793250099</c:v>
                </c:pt>
                <c:pt idx="206">
                  <c:v>136.25265155900172</c:v>
                </c:pt>
                <c:pt idx="207">
                  <c:v>137.63813375790161</c:v>
                </c:pt>
                <c:pt idx="208">
                  <c:v>139.03095850803103</c:v>
                </c:pt>
                <c:pt idx="209">
                  <c:v>140.43112975828936</c:v>
                </c:pt>
                <c:pt idx="210">
                  <c:v>141.8386514275775</c:v>
                </c:pt>
                <c:pt idx="211">
                  <c:v>143.25352740473141</c:v>
                </c:pt>
                <c:pt idx="212">
                  <c:v>144.67576154845631</c:v>
                </c:pt>
                <c:pt idx="213">
                  <c:v>146.10535768726186</c:v>
                </c:pt>
                <c:pt idx="214">
                  <c:v>147.54231961939826</c:v>
                </c:pt>
                <c:pt idx="215">
                  <c:v>148.98665111279308</c:v>
                </c:pt>
                <c:pt idx="216">
                  <c:v>150.43835590498904</c:v>
                </c:pt>
                <c:pt idx="217">
                  <c:v>151.89743770308257</c:v>
                </c:pt>
                <c:pt idx="218">
                  <c:v>153.36390018366342</c:v>
                </c:pt>
                <c:pt idx="219">
                  <c:v>154.83774699275489</c:v>
                </c:pt>
                <c:pt idx="220">
                  <c:v>156.31898174575505</c:v>
                </c:pt>
                <c:pt idx="221">
                  <c:v>157.80760802737888</c:v>
                </c:pt>
                <c:pt idx="222">
                  <c:v>159.30362939160105</c:v>
                </c:pt>
                <c:pt idx="223">
                  <c:v>160.80704936159989</c:v>
                </c:pt>
                <c:pt idx="224">
                  <c:v>162.31787142970188</c:v>
                </c:pt>
                <c:pt idx="225">
                  <c:v>163.83609905732729</c:v>
                </c:pt>
                <c:pt idx="226">
                  <c:v>165.36173567493643</c:v>
                </c:pt>
                <c:pt idx="227">
                  <c:v>166.89478468197697</c:v>
                </c:pt>
                <c:pt idx="228">
                  <c:v>168.43524944683202</c:v>
                </c:pt>
                <c:pt idx="229">
                  <c:v>169.98313330676905</c:v>
                </c:pt>
                <c:pt idx="230">
                  <c:v>171.53843956788972</c:v>
                </c:pt>
                <c:pt idx="231">
                  <c:v>173.1011715050806</c:v>
                </c:pt>
                <c:pt idx="232">
                  <c:v>174.67133236196466</c:v>
                </c:pt>
                <c:pt idx="233">
                  <c:v>176.24892535085368</c:v>
                </c:pt>
                <c:pt idx="234">
                  <c:v>177.83395365270155</c:v>
                </c:pt>
                <c:pt idx="235">
                  <c:v>179.42642041705832</c:v>
                </c:pt>
                <c:pt idx="236">
                  <c:v>181.02632876202529</c:v>
                </c:pt>
                <c:pt idx="237">
                  <c:v>182.63368177421074</c:v>
                </c:pt>
                <c:pt idx="238">
                  <c:v>184.24848250868678</c:v>
                </c:pt>
                <c:pt idx="239">
                  <c:v>185.8707339889468</c:v>
                </c:pt>
                <c:pt idx="240">
                  <c:v>187.50043920686397</c:v>
                </c:pt>
                <c:pt idx="241">
                  <c:v>189.13760112265055</c:v>
                </c:pt>
                <c:pt idx="242">
                  <c:v>190.78222266481805</c:v>
                </c:pt>
                <c:pt idx="243">
                  <c:v>192.43430673013827</c:v>
                </c:pt>
                <c:pt idx="244">
                  <c:v>194.0938743296189</c:v>
                </c:pt>
                <c:pt idx="245">
                  <c:v>195.76096459640894</c:v>
                </c:pt>
                <c:pt idx="246">
                  <c:v>197.43561664759437</c:v>
                </c:pt>
                <c:pt idx="247">
                  <c:v>199.11786958396672</c:v>
                </c:pt>
                <c:pt idx="248">
                  <c:v>200.80776248978884</c:v>
                </c:pt>
                <c:pt idx="249">
                  <c:v>202.50533443255796</c:v>
                </c:pt>
                <c:pt idx="250">
                  <c:v>204.21062446276582</c:v>
                </c:pt>
                <c:pt idx="251">
                  <c:v>205.92367161365613</c:v>
                </c:pt>
                <c:pt idx="252">
                  <c:v>207.64451490097915</c:v>
                </c:pt>
                <c:pt idx="253">
                  <c:v>209.3731832852506</c:v>
                </c:pt>
                <c:pt idx="254">
                  <c:v>211.10968562359071</c:v>
                </c:pt>
                <c:pt idx="255">
                  <c:v>212.85402069765519</c:v>
                </c:pt>
                <c:pt idx="256">
                  <c:v>214.6061872521197</c:v>
                </c:pt>
                <c:pt idx="257">
                  <c:v>216.36618399470018</c:v>
                </c:pt>
                <c:pt idx="258">
                  <c:v>218.13400959617448</c:v>
                </c:pt>
                <c:pt idx="259">
                  <c:v>219.90966269040521</c:v>
                </c:pt>
                <c:pt idx="260">
                  <c:v>221.69314187436356</c:v>
                </c:pt>
                <c:pt idx="261">
                  <c:v>223.48444570815437</c:v>
                </c:pt>
                <c:pt idx="262">
                  <c:v>225.28357271504234</c:v>
                </c:pt>
                <c:pt idx="263">
                  <c:v>227.09052138147933</c:v>
                </c:pt>
                <c:pt idx="264">
                  <c:v>228.90529015713281</c:v>
                </c:pt>
                <c:pt idx="265">
                  <c:v>230.72787745491542</c:v>
                </c:pt>
                <c:pt idx="266">
                  <c:v>232.55828165101565</c:v>
                </c:pt>
                <c:pt idx="267">
                  <c:v>234.3965010849297</c:v>
                </c:pt>
                <c:pt idx="268">
                  <c:v>236.24253405949432</c:v>
                </c:pt>
                <c:pt idx="269">
                  <c:v>238.09637884092092</c:v>
                </c:pt>
                <c:pt idx="270">
                  <c:v>239.95803365883069</c:v>
                </c:pt>
                <c:pt idx="271">
                  <c:v>241.82749670629079</c:v>
                </c:pt>
                <c:pt idx="272">
                  <c:v>243.70476613985181</c:v>
                </c:pt>
                <c:pt idx="273">
                  <c:v>245.58984007958608</c:v>
                </c:pt>
                <c:pt idx="274">
                  <c:v>247.48271660912732</c:v>
                </c:pt>
                <c:pt idx="275">
                  <c:v>249.38339377571117</c:v>
                </c:pt>
                <c:pt idx="276">
                  <c:v>251.29186959021695</c:v>
                </c:pt>
                <c:pt idx="277">
                  <c:v>253.20814153835099</c:v>
                </c:pt>
                <c:pt idx="278">
                  <c:v>255.13220584680195</c:v>
                </c:pt>
                <c:pt idx="279">
                  <c:v>257.06405797173414</c:v>
                </c:pt>
                <c:pt idx="280">
                  <c:v>259.0036933323297</c:v>
                </c:pt>
                <c:pt idx="281">
                  <c:v>260.95110731087317</c:v>
                </c:pt>
                <c:pt idx="282">
                  <c:v>262.90629525283737</c:v>
                </c:pt>
                <c:pt idx="283">
                  <c:v>264.86925246697018</c:v>
                </c:pt>
                <c:pt idx="284">
                  <c:v>266.83997422538255</c:v>
                </c:pt>
                <c:pt idx="285">
                  <c:v>268.81845576363742</c:v>
                </c:pt>
                <c:pt idx="286">
                  <c:v>270.80469228083984</c:v>
                </c:pt>
                <c:pt idx="287">
                  <c:v>272.79867893972812</c:v>
                </c:pt>
                <c:pt idx="288">
                  <c:v>274.80041086676601</c:v>
                </c:pt>
                <c:pt idx="289">
                  <c:v>276.80988315223601</c:v>
                </c:pt>
                <c:pt idx="290">
                  <c:v>278.82709085033372</c:v>
                </c:pt>
                <c:pt idx="291">
                  <c:v>280.85202897926303</c:v>
                </c:pt>
                <c:pt idx="292">
                  <c:v>282.88469252133262</c:v>
                </c:pt>
                <c:pt idx="293">
                  <c:v>284.92507642305338</c:v>
                </c:pt>
                <c:pt idx="294">
                  <c:v>286.97317559523674</c:v>
                </c:pt>
                <c:pt idx="295">
                  <c:v>289.02898491309418</c:v>
                </c:pt>
                <c:pt idx="296">
                  <c:v>291.09249921633767</c:v>
                </c:pt>
                <c:pt idx="297">
                  <c:v>293.16371330928121</c:v>
                </c:pt>
                <c:pt idx="298">
                  <c:v>295.24262196094304</c:v>
                </c:pt>
                <c:pt idx="299">
                  <c:v>297.32921990514927</c:v>
                </c:pt>
                <c:pt idx="300">
                  <c:v>299.42350184063832</c:v>
                </c:pt>
                <c:pt idx="301">
                  <c:v>301.52546243116609</c:v>
                </c:pt>
                <c:pt idx="302">
                  <c:v>303.63509630561259</c:v>
                </c:pt>
                <c:pt idx="303">
                  <c:v>305.75239805808911</c:v>
                </c:pt>
                <c:pt idx="304">
                  <c:v>307.8773622480465</c:v>
                </c:pt>
                <c:pt idx="305">
                  <c:v>310.00998340038433</c:v>
                </c:pt>
                <c:pt idx="306">
                  <c:v>312.15025600556129</c:v>
                </c:pt>
                <c:pt idx="307">
                  <c:v>314.29817451970604</c:v>
                </c:pt>
                <c:pt idx="308">
                  <c:v>316.45373336472932</c:v>
                </c:pt>
                <c:pt idx="309">
                  <c:v>318.61692692843701</c:v>
                </c:pt>
                <c:pt idx="310">
                  <c:v>320.78774956464389</c:v>
                </c:pt>
                <c:pt idx="311">
                  <c:v>322.96619559328838</c:v>
                </c:pt>
                <c:pt idx="312">
                  <c:v>325.15225930054828</c:v>
                </c:pt>
                <c:pt idx="313">
                  <c:v>327.34593493895738</c:v>
                </c:pt>
                <c:pt idx="314">
                  <c:v>329.54721672752288</c:v>
                </c:pt>
                <c:pt idx="315">
                  <c:v>331.7560988518436</c:v>
                </c:pt>
                <c:pt idx="316">
                  <c:v>333.97257546422952</c:v>
                </c:pt>
                <c:pt idx="317">
                  <c:v>336.1966406838215</c:v>
                </c:pt>
                <c:pt idx="318">
                  <c:v>338.42828859671243</c:v>
                </c:pt>
                <c:pt idx="319">
                  <c:v>340.66751325606907</c:v>
                </c:pt>
                <c:pt idx="320">
                  <c:v>342.91430868225456</c:v>
                </c:pt>
                <c:pt idx="321">
                  <c:v>345.1686688629519</c:v>
                </c:pt>
                <c:pt idx="322">
                  <c:v>347.43058775328842</c:v>
                </c:pt>
                <c:pt idx="323">
                  <c:v>349.70005927596083</c:v>
                </c:pt>
                <c:pt idx="324">
                  <c:v>351.97707732136115</c:v>
                </c:pt>
                <c:pt idx="325">
                  <c:v>354.26163574770351</c:v>
                </c:pt>
                <c:pt idx="326">
                  <c:v>356.55372838115181</c:v>
                </c:pt>
                <c:pt idx="327">
                  <c:v>358.85334901594808</c:v>
                </c:pt>
                <c:pt idx="328">
                  <c:v>361.16049141454153</c:v>
                </c:pt>
                <c:pt idx="329">
                  <c:v>363.4751493077186</c:v>
                </c:pt>
                <c:pt idx="330">
                  <c:v>365.79731639473368</c:v>
                </c:pt>
                <c:pt idx="331">
                  <c:v>368.12698634344076</c:v>
                </c:pt>
                <c:pt idx="332">
                  <c:v>370.46415279042537</c:v>
                </c:pt>
                <c:pt idx="333">
                  <c:v>372.80880934113793</c:v>
                </c:pt>
                <c:pt idx="334">
                  <c:v>375.16094957002736</c:v>
                </c:pt>
                <c:pt idx="335">
                  <c:v>377.52056702067557</c:v>
                </c:pt>
                <c:pt idx="336">
                  <c:v>379.88765520593284</c:v>
                </c:pt>
                <c:pt idx="337">
                  <c:v>382.2622076080537</c:v>
                </c:pt>
                <c:pt idx="338">
                  <c:v>384.64421767883363</c:v>
                </c:pt>
                <c:pt idx="339">
                  <c:v>387.03367883974653</c:v>
                </c:pt>
                <c:pt idx="340">
                  <c:v>389.43058448208274</c:v>
                </c:pt>
                <c:pt idx="341">
                  <c:v>391.83492796708799</c:v>
                </c:pt>
                <c:pt idx="342">
                  <c:v>394.24670262610277</c:v>
                </c:pt>
                <c:pt idx="343">
                  <c:v>396.66590176070264</c:v>
                </c:pt>
                <c:pt idx="344">
                  <c:v>399.09251905555942</c:v>
                </c:pt>
                <c:pt idx="345">
                  <c:v>401.52655229540341</c:v>
                </c:pt>
                <c:pt idx="346">
                  <c:v>403.9680029523476</c:v>
                </c:pt>
                <c:pt idx="347">
                  <c:v>406.41687246905366</c:v>
                </c:pt>
                <c:pt idx="348">
                  <c:v>408.87316225875742</c:v>
                </c:pt>
                <c:pt idx="349">
                  <c:v>411.33687370529537</c:v>
                </c:pt>
                <c:pt idx="350">
                  <c:v>413.8080081631316</c:v>
                </c:pt>
                <c:pt idx="351">
                  <c:v>416.28656695738573</c:v>
                </c:pt>
                <c:pt idx="352">
                  <c:v>418.77255138386136</c:v>
                </c:pt>
                <c:pt idx="353">
                  <c:v>421.2659627090755</c:v>
                </c:pt>
                <c:pt idx="354">
                  <c:v>423.76680217028837</c:v>
                </c:pt>
                <c:pt idx="355">
                  <c:v>426.27507097553433</c:v>
                </c:pt>
                <c:pt idx="356">
                  <c:v>428.79077030365323</c:v>
                </c:pt>
                <c:pt idx="357">
                  <c:v>431.31390130432266</c:v>
                </c:pt>
                <c:pt idx="358">
                  <c:v>433.84446509809072</c:v>
                </c:pt>
                <c:pt idx="359">
                  <c:v>436.38246277640991</c:v>
                </c:pt>
                <c:pt idx="360">
                  <c:v>438.92789540167132</c:v>
                </c:pt>
                <c:pt idx="361">
                  <c:v>441.48076400723971</c:v>
                </c:pt>
                <c:pt idx="362">
                  <c:v>444.04106959748941</c:v>
                </c:pt>
                <c:pt idx="363">
                  <c:v>446.60881314784081</c:v>
                </c:pt>
                <c:pt idx="364">
                  <c:v>449.18399560479753</c:v>
                </c:pt>
                <c:pt idx="365">
                  <c:v>451.76661788598454</c:v>
                </c:pt>
                <c:pt idx="366">
                  <c:v>454.35668088018673</c:v>
                </c:pt>
                <c:pt idx="367">
                  <c:v>456.95418544738828</c:v>
                </c:pt>
                <c:pt idx="368">
                  <c:v>459.55913241881296</c:v>
                </c:pt>
                <c:pt idx="369">
                  <c:v>462.17152259696473</c:v>
                </c:pt>
                <c:pt idx="370">
                  <c:v>464.79135675566948</c:v>
                </c:pt>
                <c:pt idx="371">
                  <c:v>467.41863564011715</c:v>
                </c:pt>
                <c:pt idx="372">
                  <c:v>470.05335996690474</c:v>
                </c:pt>
                <c:pt idx="373">
                  <c:v>472.69552771837709</c:v>
                </c:pt>
                <c:pt idx="374">
                  <c:v>475.34513414303802</c:v>
                </c:pt>
                <c:pt idx="375">
                  <c:v>478.00217446170257</c:v>
                </c:pt>
                <c:pt idx="376">
                  <c:v>480.66664386761801</c:v>
                </c:pt>
                <c:pt idx="377">
                  <c:v>483.33853752658592</c:v>
                </c:pt>
                <c:pt idx="378">
                  <c:v>486.01785057708435</c:v>
                </c:pt>
                <c:pt idx="379">
                  <c:v>488.70457813039098</c:v>
                </c:pt>
                <c:pt idx="380">
                  <c:v>491.39871527070659</c:v>
                </c:pt>
                <c:pt idx="381">
                  <c:v>494.10025705527931</c:v>
                </c:pt>
                <c:pt idx="382">
                  <c:v>496.80919851452944</c:v>
                </c:pt>
                <c:pt idx="383">
                  <c:v>499.52553465217483</c:v>
                </c:pt>
                <c:pt idx="384">
                  <c:v>502.24926044535664</c:v>
                </c:pt>
                <c:pt idx="385">
                  <c:v>504.98037084476618</c:v>
                </c:pt>
                <c:pt idx="386">
                  <c:v>507.71886077477166</c:v>
                </c:pt>
                <c:pt idx="387">
                  <c:v>510.46472513354604</c:v>
                </c:pt>
                <c:pt idx="388">
                  <c:v>513.21795879319507</c:v>
                </c:pt>
                <c:pt idx="389">
                  <c:v>515.97855659988625</c:v>
                </c:pt>
                <c:pt idx="390">
                  <c:v>518.7465133739779</c:v>
                </c:pt>
                <c:pt idx="391">
                  <c:v>521.52182391014901</c:v>
                </c:pt>
                <c:pt idx="392">
                  <c:v>524.30448297752969</c:v>
                </c:pt>
                <c:pt idx="393">
                  <c:v>527.09448531983196</c:v>
                </c:pt>
                <c:pt idx="394">
                  <c:v>529.89182565548128</c:v>
                </c:pt>
                <c:pt idx="395">
                  <c:v>532.6964986777482</c:v>
                </c:pt>
                <c:pt idx="396">
                  <c:v>535.50849905488099</c:v>
                </c:pt>
                <c:pt idx="397">
                  <c:v>538.3278214302386</c:v>
                </c:pt>
                <c:pt idx="398">
                  <c:v>541.15446042242388</c:v>
                </c:pt>
                <c:pt idx="399">
                  <c:v>543.9884106254176</c:v>
                </c:pt>
                <c:pt idx="400">
                  <c:v>546.82966660871284</c:v>
                </c:pt>
                <c:pt idx="401">
                  <c:v>549.67822291744983</c:v>
                </c:pt>
                <c:pt idx="402">
                  <c:v>552.53407407255133</c:v>
                </c:pt>
                <c:pt idx="403">
                  <c:v>555.39721457085841</c:v>
                </c:pt>
                <c:pt idx="404">
                  <c:v>558.26763888526659</c:v>
                </c:pt>
                <c:pt idx="405">
                  <c:v>561.1453414648629</c:v>
                </c:pt>
                <c:pt idx="406">
                  <c:v>564.0303167350628</c:v>
                </c:pt>
                <c:pt idx="407">
                  <c:v>566.92255909774769</c:v>
                </c:pt>
                <c:pt idx="408">
                  <c:v>569.82206293140325</c:v>
                </c:pt>
                <c:pt idx="409">
                  <c:v>572.72881953016315</c:v>
                </c:pt>
                <c:pt idx="410">
                  <c:v>575.6428163391414</c:v>
                </c:pt>
                <c:pt idx="411">
                  <c:v>578.56404001697092</c:v>
                </c:pt>
                <c:pt idx="412">
                  <c:v>581.49247720211542</c:v>
                </c:pt>
                <c:pt idx="413">
                  <c:v>584.42811451313173</c:v>
                </c:pt>
                <c:pt idx="414">
                  <c:v>587.3709385489326</c:v>
                </c:pt>
                <c:pt idx="415">
                  <c:v>590.32093588904911</c:v>
                </c:pt>
                <c:pt idx="416">
                  <c:v>593.27809309389295</c:v>
                </c:pt>
                <c:pt idx="417">
                  <c:v>596.24239670501879</c:v>
                </c:pt>
                <c:pt idx="418">
                  <c:v>599.21383324538624</c:v>
                </c:pt>
                <c:pt idx="419">
                  <c:v>602.19238921962199</c:v>
                </c:pt>
                <c:pt idx="420">
                  <c:v>605.17805111428163</c:v>
                </c:pt>
                <c:pt idx="421">
                  <c:v>608.1708053981115</c:v>
                </c:pt>
                <c:pt idx="422">
                  <c:v>611.17063852231001</c:v>
                </c:pt>
                <c:pt idx="423">
                  <c:v>614.17753692078929</c:v>
                </c:pt>
                <c:pt idx="424">
                  <c:v>617.19148701043616</c:v>
                </c:pt>
                <c:pt idx="425">
                  <c:v>620.21247519137319</c:v>
                </c:pt>
                <c:pt idx="426">
                  <c:v>623.24048784721958</c:v>
                </c:pt>
                <c:pt idx="427">
                  <c:v>626.27551134535156</c:v>
                </c:pt>
                <c:pt idx="428">
                  <c:v>629.31753203716289</c:v>
                </c:pt>
                <c:pt idx="429">
                  <c:v>632.36653625832491</c:v>
                </c:pt>
                <c:pt idx="430">
                  <c:v>635.42251032904619</c:v>
                </c:pt>
                <c:pt idx="431">
                  <c:v>638.48544055433229</c:v>
                </c:pt>
                <c:pt idx="432">
                  <c:v>641.55531322424508</c:v>
                </c:pt>
                <c:pt idx="433">
                  <c:v>644.63211461416165</c:v>
                </c:pt>
                <c:pt idx="434">
                  <c:v>647.71583098503299</c:v>
                </c:pt>
                <c:pt idx="435">
                  <c:v>650.80644858364246</c:v>
                </c:pt>
                <c:pt idx="436">
                  <c:v>653.90395364286383</c:v>
                </c:pt>
                <c:pt idx="437">
                  <c:v>657.00833238191899</c:v>
                </c:pt>
                <c:pt idx="438">
                  <c:v>660.1195710066354</c:v>
                </c:pt>
                <c:pt idx="439">
                  <c:v>663.23765570970318</c:v>
                </c:pt>
                <c:pt idx="440">
                  <c:v>666.36257267093174</c:v>
                </c:pt>
                <c:pt idx="441">
                  <c:v>669.49430805750615</c:v>
                </c:pt>
                <c:pt idx="442">
                  <c:v>672.63284802424289</c:v>
                </c:pt>
                <c:pt idx="443">
                  <c:v>675.77817871384559</c:v>
                </c:pt>
                <c:pt idx="444">
                  <c:v>678.93028625716022</c:v>
                </c:pt>
                <c:pt idx="445">
                  <c:v>682.08915677342952</c:v>
                </c:pt>
                <c:pt idx="446">
                  <c:v>685.25477637054757</c:v>
                </c:pt>
                <c:pt idx="447">
                  <c:v>688.42713114531364</c:v>
                </c:pt>
                <c:pt idx="448">
                  <c:v>691.60620718368534</c:v>
                </c:pt>
                <c:pt idx="449">
                  <c:v>694.79199056103187</c:v>
                </c:pt>
                <c:pt idx="450">
                  <c:v>697.98446734238644</c:v>
                </c:pt>
                <c:pt idx="451">
                  <c:v>701.18362358269826</c:v>
                </c:pt>
                <c:pt idx="452">
                  <c:v>704.38944532708422</c:v>
                </c:pt>
                <c:pt idx="453">
                  <c:v>707.60191861107967</c:v>
                </c:pt>
                <c:pt idx="454">
                  <c:v>710.82102946088935</c:v>
                </c:pt>
                <c:pt idx="455">
                  <c:v>714.04676389363703</c:v>
                </c:pt>
                <c:pt idx="456">
                  <c:v>717.27910791761542</c:v>
                </c:pt>
                <c:pt idx="457">
                  <c:v>720.51804753253498</c:v>
                </c:pt>
                <c:pt idx="458">
                  <c:v>723.76356872977237</c:v>
                </c:pt>
                <c:pt idx="459">
                  <c:v>727.01565749261829</c:v>
                </c:pt>
                <c:pt idx="460">
                  <c:v>730.27429979652504</c:v>
                </c:pt>
                <c:pt idx="461">
                  <c:v>733.53948160935317</c:v>
                </c:pt>
                <c:pt idx="462">
                  <c:v>736.81118889161769</c:v>
                </c:pt>
                <c:pt idx="463">
                  <c:v>740.08940759673385</c:v>
                </c:pt>
                <c:pt idx="464">
                  <c:v>743.37412367126205</c:v>
                </c:pt>
                <c:pt idx="465">
                  <c:v>746.66532305515216</c:v>
                </c:pt>
                <c:pt idx="466">
                  <c:v>749.96299168198766</c:v>
                </c:pt>
                <c:pt idx="467">
                  <c:v>753.26711547922866</c:v>
                </c:pt>
                <c:pt idx="468">
                  <c:v>756.57768036845459</c:v>
                </c:pt>
                <c:pt idx="469">
                  <c:v>759.89467226560612</c:v>
                </c:pt>
                <c:pt idx="470">
                  <c:v>763.21807708122628</c:v>
                </c:pt>
                <c:pt idx="471">
                  <c:v>766.54788072070153</c:v>
                </c:pt>
                <c:pt idx="472">
                  <c:v>769.88406908450156</c:v>
                </c:pt>
                <c:pt idx="473">
                  <c:v>773.22662806841856</c:v>
                </c:pt>
                <c:pt idx="474">
                  <c:v>776.57554356380604</c:v>
                </c:pt>
                <c:pt idx="475">
                  <c:v>779.93080145781676</c:v>
                </c:pt>
                <c:pt idx="476">
                  <c:v>783.29238763364003</c:v>
                </c:pt>
                <c:pt idx="477">
                  <c:v>786.6602879707383</c:v>
                </c:pt>
                <c:pt idx="478">
                  <c:v>790.03448834508322</c:v>
                </c:pt>
                <c:pt idx="479">
                  <c:v>793.4149746293906</c:v>
                </c:pt>
                <c:pt idx="480">
                  <c:v>796.80173269335512</c:v>
                </c:pt>
                <c:pt idx="481">
                  <c:v>800.19474840388386</c:v>
                </c:pt>
                <c:pt idx="482">
                  <c:v>803.59400762532948</c:v>
                </c:pt>
                <c:pt idx="483">
                  <c:v>806.99949621972257</c:v>
                </c:pt>
                <c:pt idx="484">
                  <c:v>810.41120004700292</c:v>
                </c:pt>
                <c:pt idx="485">
                  <c:v>813.82910496525051</c:v>
                </c:pt>
                <c:pt idx="486">
                  <c:v>817.2531968309155</c:v>
                </c:pt>
                <c:pt idx="487">
                  <c:v>820.68346149904744</c:v>
                </c:pt>
                <c:pt idx="488">
                  <c:v>824.11988482352376</c:v>
                </c:pt>
                <c:pt idx="489">
                  <c:v>827.5624526572775</c:v>
                </c:pt>
                <c:pt idx="490">
                  <c:v>831.01115085252411</c:v>
                </c:pt>
                <c:pt idx="491">
                  <c:v>834.46596526098767</c:v>
                </c:pt>
                <c:pt idx="492">
                  <c:v>837.92688173412637</c:v>
                </c:pt>
                <c:pt idx="493">
                  <c:v>841.39388612335665</c:v>
                </c:pt>
                <c:pt idx="494">
                  <c:v>844.86696428027733</c:v>
                </c:pt>
                <c:pt idx="495">
                  <c:v>848.34610205689194</c:v>
                </c:pt>
                <c:pt idx="496">
                  <c:v>851.83128530583144</c:v>
                </c:pt>
                <c:pt idx="497">
                  <c:v>855.32249889427737</c:v>
                </c:pt>
                <c:pt idx="498">
                  <c:v>858.81972571805409</c:v>
                </c:pt>
                <c:pt idx="499">
                  <c:v>862.32294768994632</c:v>
                </c:pt>
                <c:pt idx="500">
                  <c:v>865.83214672787699</c:v>
                </c:pt>
                <c:pt idx="501">
                  <c:v>869.3473047551829</c:v>
                </c:pt>
                <c:pt idx="502">
                  <c:v>872.86840370088896</c:v>
                </c:pt>
                <c:pt idx="503">
                  <c:v>876.39542549998146</c:v>
                </c:pt>
                <c:pt idx="504">
                  <c:v>879.92835209367956</c:v>
                </c:pt>
                <c:pt idx="505">
                  <c:v>883.46716542970603</c:v>
                </c:pt>
                <c:pt idx="506">
                  <c:v>887.01184746255592</c:v>
                </c:pt>
                <c:pt idx="507">
                  <c:v>890.56238015376402</c:v>
                </c:pt>
                <c:pt idx="508">
                  <c:v>894.11874547217155</c:v>
                </c:pt>
                <c:pt idx="509">
                  <c:v>897.68092539419058</c:v>
                </c:pt>
                <c:pt idx="510">
                  <c:v>901.24890190406768</c:v>
                </c:pt>
                <c:pt idx="511">
                  <c:v>904.82265699414586</c:v>
                </c:pt>
                <c:pt idx="512">
                  <c:v>908.40217266512525</c:v>
                </c:pt>
                <c:pt idx="513">
                  <c:v>911.9874309263223</c:v>
                </c:pt>
                <c:pt idx="514">
                  <c:v>915.57841379592753</c:v>
                </c:pt>
                <c:pt idx="515">
                  <c:v>919.1751033012622</c:v>
                </c:pt>
                <c:pt idx="516">
                  <c:v>922.77748147903287</c:v>
                </c:pt>
                <c:pt idx="517">
                  <c:v>926.38553037558529</c:v>
                </c:pt>
                <c:pt idx="518">
                  <c:v>929.99923204715628</c:v>
                </c:pt>
                <c:pt idx="519">
                  <c:v>933.61856856012434</c:v>
                </c:pt>
                <c:pt idx="520">
                  <c:v>937.24352199125929</c:v>
                </c:pt>
                <c:pt idx="521">
                  <c:v>940.87407442796939</c:v>
                </c:pt>
                <c:pt idx="522">
                  <c:v>944.51020796854823</c:v>
                </c:pt>
                <c:pt idx="523">
                  <c:v>948.15190472241943</c:v>
                </c:pt>
                <c:pt idx="524">
                  <c:v>951.79914681037974</c:v>
                </c:pt>
                <c:pt idx="525">
                  <c:v>955.45191636484151</c:v>
                </c:pt>
                <c:pt idx="526">
                  <c:v>959.1101955300727</c:v>
                </c:pt>
                <c:pt idx="527">
                  <c:v>962.77396646243608</c:v>
                </c:pt>
                <c:pt idx="528">
                  <c:v>966.44321133062681</c:v>
                </c:pt>
                <c:pt idx="529">
                  <c:v>970.11791231590848</c:v>
                </c:pt>
                <c:pt idx="530">
                  <c:v>973.79805161234765</c:v>
                </c:pt>
                <c:pt idx="531">
                  <c:v>977.48361142704675</c:v>
                </c:pt>
                <c:pt idx="532">
                  <c:v>981.17457398037595</c:v>
                </c:pt>
                <c:pt idx="533">
                  <c:v>984.8709215062031</c:v>
                </c:pt>
                <c:pt idx="534">
                  <c:v>988.57263625212261</c:v>
                </c:pt>
                <c:pt idx="535">
                  <c:v>992.27970047968222</c:v>
                </c:pt>
                <c:pt idx="536">
                  <c:v>995.99209646460884</c:v>
                </c:pt>
                <c:pt idx="537">
                  <c:v>999.70980649703267</c:v>
                </c:pt>
                <c:pt idx="538">
                  <c:v>1003.4328128817098</c:v>
                </c:pt>
                <c:pt idx="539">
                  <c:v>1007.1610979382432</c:v>
                </c:pt>
                <c:pt idx="540">
                  <c:v>1010.8946440013026</c:v>
                </c:pt>
                <c:pt idx="541">
                  <c:v>1014.6334334208424</c:v>
                </c:pt>
                <c:pt idx="542">
                  <c:v>1018.3774485623182</c:v>
                </c:pt>
                <c:pt idx="543">
                  <c:v>1022.1266718069024</c:v>
                </c:pt>
                <c:pt idx="544">
                  <c:v>1025.881085551697</c:v>
                </c:pt>
                <c:pt idx="545">
                  <c:v>1029.6406722099459</c:v>
                </c:pt>
                <c:pt idx="546">
                  <c:v>1033.4054142112461</c:v>
                </c:pt>
                <c:pt idx="547">
                  <c:v>1037.1752940017561</c:v>
                </c:pt>
                <c:pt idx="548">
                  <c:v>1040.9502940444031</c:v>
                </c:pt>
                <c:pt idx="549">
                  <c:v>1044.7303968190897</c:v>
                </c:pt>
                <c:pt idx="550">
                  <c:v>1048.5155841551907</c:v>
                </c:pt>
                <c:pt idx="551">
                  <c:v>1052.3058356734639</c:v>
                </c:pt>
                <c:pt idx="552">
                  <c:v>1056.101129456782</c:v>
                </c:pt>
                <c:pt idx="553">
                  <c:v>1059.901443611476</c:v>
                </c:pt>
                <c:pt idx="554">
                  <c:v>1063.7067562675916</c:v>
                </c:pt>
                <c:pt idx="555">
                  <c:v>1067.5170455791435</c:v>
                </c:pt>
                <c:pt idx="556">
                  <c:v>1071.3322897243679</c:v>
                </c:pt>
                <c:pt idx="557">
                  <c:v>1075.1524669059713</c:v>
                </c:pt>
                <c:pt idx="558">
                  <c:v>1078.9775553513787</c:v>
                </c:pt>
                <c:pt idx="559">
                  <c:v>1082.8075333129789</c:v>
                </c:pt>
                <c:pt idx="560">
                  <c:v>1086.6423790683671</c:v>
                </c:pt>
                <c:pt idx="561">
                  <c:v>1090.4820709205869</c:v>
                </c:pt>
                <c:pt idx="562">
                  <c:v>1094.3265871983681</c:v>
                </c:pt>
                <c:pt idx="563">
                  <c:v>1098.1759062563633</c:v>
                </c:pt>
                <c:pt idx="564">
                  <c:v>1102.0300064753831</c:v>
                </c:pt>
                <c:pt idx="565">
                  <c:v>1105.8888662626268</c:v>
                </c:pt>
                <c:pt idx="566">
                  <c:v>1109.7524640519139</c:v>
                </c:pt>
                <c:pt idx="567">
                  <c:v>1113.6207783039104</c:v>
                </c:pt>
                <c:pt idx="568">
                  <c:v>1117.4937875063551</c:v>
                </c:pt>
                <c:pt idx="569">
                  <c:v>1121.3714701742833</c:v>
                </c:pt>
                <c:pt idx="570">
                  <c:v>1125.253804850247</c:v>
                </c:pt>
                <c:pt idx="571">
                  <c:v>1129.1407701045343</c:v>
                </c:pt>
                <c:pt idx="572">
                  <c:v>1133.0323445353863</c:v>
                </c:pt>
                <c:pt idx="573">
                  <c:v>1136.9285067692117</c:v>
                </c:pt>
                <c:pt idx="574">
                  <c:v>1140.8292354607991</c:v>
                </c:pt>
                <c:pt idx="575">
                  <c:v>1144.734509293527</c:v>
                </c:pt>
                <c:pt idx="576">
                  <c:v>1148.6443069795723</c:v>
                </c:pt>
                <c:pt idx="577">
                  <c:v>1152.5586072601161</c:v>
                </c:pt>
                <c:pt idx="578">
                  <c:v>1156.4773889055473</c:v>
                </c:pt>
                <c:pt idx="579">
                  <c:v>1160.400630715664</c:v>
                </c:pt>
                <c:pt idx="580">
                  <c:v>1164.3283115198733</c:v>
                </c:pt>
                <c:pt idx="581">
                  <c:v>1168.2604101773886</c:v>
                </c:pt>
                <c:pt idx="582">
                  <c:v>1172.1969055774241</c:v>
                </c:pt>
                <c:pt idx="583">
                  <c:v>1176.1377766393882</c:v>
                </c:pt>
                <c:pt idx="584">
                  <c:v>1180.0830023130745</c:v>
                </c:pt>
                <c:pt idx="585">
                  <c:v>1184.0325615788502</c:v>
                </c:pt>
                <c:pt idx="586">
                  <c:v>1187.9864334478423</c:v>
                </c:pt>
                <c:pt idx="587">
                  <c:v>1191.9445969621229</c:v>
                </c:pt>
                <c:pt idx="588">
                  <c:v>1195.9070311948908</c:v>
                </c:pt>
                <c:pt idx="589">
                  <c:v>1199.8737152506517</c:v>
                </c:pt>
                <c:pt idx="590">
                  <c:v>1203.8446282653968</c:v>
                </c:pt>
                <c:pt idx="591">
                  <c:v>1207.8197494067781</c:v>
                </c:pt>
                <c:pt idx="592">
                  <c:v>1211.7990578742827</c:v>
                </c:pt>
                <c:pt idx="593">
                  <c:v>1215.7825328994043</c:v>
                </c:pt>
                <c:pt idx="594">
                  <c:v>1219.7701537458129</c:v>
                </c:pt>
                <c:pt idx="595">
                  <c:v>1223.7618997095224</c:v>
                </c:pt>
                <c:pt idx="596">
                  <c:v>1227.757750119056</c:v>
                </c:pt>
                <c:pt idx="597">
                  <c:v>1231.7576843356101</c:v>
                </c:pt>
                <c:pt idx="598">
                  <c:v>1235.7616817532146</c:v>
                </c:pt>
                <c:pt idx="599">
                  <c:v>1239.7697217988934</c:v>
                </c:pt>
                <c:pt idx="600">
                  <c:v>1243.7817839328206</c:v>
                </c:pt>
                <c:pt idx="601">
                  <c:v>1247.7978476484764</c:v>
                </c:pt>
                <c:pt idx="602">
                  <c:v>1251.8178924727995</c:v>
                </c:pt>
                <c:pt idx="603">
                  <c:v>1255.841897966339</c:v>
                </c:pt>
                <c:pt idx="604">
                  <c:v>1259.8698437234027</c:v>
                </c:pt>
                <c:pt idx="605">
                  <c:v>1263.9017093722046</c:v>
                </c:pt>
                <c:pt idx="606">
                  <c:v>1267.9374745750094</c:v>
                </c:pt>
                <c:pt idx="607">
                  <c:v>1271.9771190282763</c:v>
                </c:pt>
                <c:pt idx="608">
                  <c:v>1276.0206224627989</c:v>
                </c:pt>
                <c:pt idx="609">
                  <c:v>1280.067964643845</c:v>
                </c:pt>
                <c:pt idx="610">
                  <c:v>1284.1191253712932</c:v>
                </c:pt>
                <c:pt idx="611">
                  <c:v>1288.1740844797682</c:v>
                </c:pt>
                <c:pt idx="612">
                  <c:v>1292.2328159011945</c:v>
                </c:pt>
                <c:pt idx="613">
                  <c:v>1296.2952876749196</c:v>
                </c:pt>
                <c:pt idx="614">
                  <c:v>1300.3614678954825</c:v>
                </c:pt>
                <c:pt idx="615">
                  <c:v>1304.4313247128759</c:v>
                </c:pt>
                <c:pt idx="616">
                  <c:v>1308.5048263328038</c:v>
                </c:pt>
                <c:pt idx="617">
                  <c:v>1312.5819410169356</c:v>
                </c:pt>
                <c:pt idx="618">
                  <c:v>1316.6626370831552</c:v>
                </c:pt>
                <c:pt idx="619">
                  <c:v>1320.7468829058062</c:v>
                </c:pt>
                <c:pt idx="620">
                  <c:v>1324.8346469159328</c:v>
                </c:pt>
                <c:pt idx="621">
                  <c:v>1328.9258976015165</c:v>
                </c:pt>
                <c:pt idx="622">
                  <c:v>1333.0206035077085</c:v>
                </c:pt>
                <c:pt idx="623">
                  <c:v>1337.1187332370578</c:v>
                </c:pt>
                <c:pt idx="624">
                  <c:v>1341.2202554497353</c:v>
                </c:pt>
                <c:pt idx="625">
                  <c:v>1345.3251388637539</c:v>
                </c:pt>
                <c:pt idx="626">
                  <c:v>1349.433352255184</c:v>
                </c:pt>
                <c:pt idx="627">
                  <c:v>1353.5448644583653</c:v>
                </c:pt>
                <c:pt idx="628">
                  <c:v>1357.6596443661144</c:v>
                </c:pt>
                <c:pt idx="629">
                  <c:v>1361.7776609299278</c:v>
                </c:pt>
                <c:pt idx="630">
                  <c:v>1365.8988831601821</c:v>
                </c:pt>
                <c:pt idx="631">
                  <c:v>1370.0232801263282</c:v>
                </c:pt>
                <c:pt idx="632">
                  <c:v>1374.1508209570841</c:v>
                </c:pt>
                <c:pt idx="633">
                  <c:v>1378.2814748406211</c:v>
                </c:pt>
                <c:pt idx="634">
                  <c:v>1382.4152110247474</c:v>
                </c:pt>
                <c:pt idx="635">
                  <c:v>1386.5519988170877</c:v>
                </c:pt>
                <c:pt idx="636">
                  <c:v>1390.6918075852589</c:v>
                </c:pt>
                <c:pt idx="637">
                  <c:v>1394.8346067570405</c:v>
                </c:pt>
                <c:pt idx="638">
                  <c:v>1398.980365820544</c:v>
                </c:pt>
                <c:pt idx="639">
                  <c:v>1403.1290543243749</c:v>
                </c:pt>
                <c:pt idx="640">
                  <c:v>1407.2806418777936</c:v>
                </c:pt>
                <c:pt idx="641">
                  <c:v>1411.4350981508712</c:v>
                </c:pt>
                <c:pt idx="642">
                  <c:v>1415.592392874642</c:v>
                </c:pt>
                <c:pt idx="643">
                  <c:v>1419.7524958412516</c:v>
                </c:pt>
                <c:pt idx="644">
                  <c:v>1423.9153769041015</c:v>
                </c:pt>
                <c:pt idx="645">
                  <c:v>1428.0810059779908</c:v>
                </c:pt>
                <c:pt idx="646">
                  <c:v>1432.2493365822081</c:v>
                </c:pt>
                <c:pt idx="647">
                  <c:v>1436.4203040432988</c:v>
                </c:pt>
                <c:pt idx="648">
                  <c:v>1440.593841988584</c:v>
                </c:pt>
                <c:pt idx="649">
                  <c:v>1444.7698841802992</c:v>
                </c:pt>
                <c:pt idx="650">
                  <c:v>1448.9483645163125</c:v>
                </c:pt>
                <c:pt idx="651">
                  <c:v>1453.1292170308272</c:v>
                </c:pt>
                <c:pt idx="652">
                  <c:v>1457.3123758950676</c:v>
                </c:pt>
                <c:pt idx="653">
                  <c:v>1461.4977754179488</c:v>
                </c:pt>
                <c:pt idx="654">
                  <c:v>1465.6853500467309</c:v>
                </c:pt>
                <c:pt idx="655">
                  <c:v>1469.8750343676566</c:v>
                </c:pt>
                <c:pt idx="656">
                  <c:v>1474.0667631065728</c:v>
                </c:pt>
                <c:pt idx="657">
                  <c:v>1478.2604711295382</c:v>
                </c:pt>
                <c:pt idx="658">
                  <c:v>1482.456093443413</c:v>
                </c:pt>
                <c:pt idx="659">
                  <c:v>1486.6535651964339</c:v>
                </c:pt>
                <c:pt idx="660">
                  <c:v>1490.8528216787743</c:v>
                </c:pt>
                <c:pt idx="661">
                  <c:v>1495.0537983230879</c:v>
                </c:pt>
                <c:pt idx="662">
                  <c:v>1499.2564307050384</c:v>
                </c:pt>
                <c:pt idx="663">
                  <c:v>1503.4606545438126</c:v>
                </c:pt>
                <c:pt idx="664">
                  <c:v>1507.6664057026198</c:v>
                </c:pt>
                <c:pt idx="665">
                  <c:v>1511.8736201891752</c:v>
                </c:pt>
                <c:pt idx="666">
                  <c:v>1516.0821992991389</c:v>
                </c:pt>
                <c:pt idx="667">
                  <c:v>1520.292000976702</c:v>
                </c:pt>
                <c:pt idx="668">
                  <c:v>1524.5028747730146</c:v>
                </c:pt>
                <c:pt idx="669">
                  <c:v>1528.7146705889572</c:v>
                </c:pt>
                <c:pt idx="670">
                  <c:v>1532.9272386785649</c:v>
                </c:pt>
                <c:pt idx="671">
                  <c:v>1537.1404296523685</c:v>
                </c:pt>
                <c:pt idx="672">
                  <c:v>1541.3540944806548</c:v>
                </c:pt>
                <c:pt idx="673">
                  <c:v>1545.5680844966464</c:v>
                </c:pt>
                <c:pt idx="674">
                  <c:v>1549.7822513996</c:v>
                </c:pt>
                <c:pt idx="675">
                  <c:v>1553.9964472578258</c:v>
                </c:pt>
                <c:pt idx="676">
                  <c:v>1558.2105245116265</c:v>
                </c:pt>
                <c:pt idx="677">
                  <c:v>1562.4243359761572</c:v>
                </c:pt>
                <c:pt idx="678">
                  <c:v>1566.6377348442065</c:v>
                </c:pt>
                <c:pt idx="679">
                  <c:v>1570.8505746889007</c:v>
                </c:pt>
                <c:pt idx="680">
                  <c:v>1575.0627094663278</c:v>
                </c:pt>
                <c:pt idx="681">
                  <c:v>1579.2739935180871</c:v>
                </c:pt>
                <c:pt idx="682">
                  <c:v>1583.4842815737602</c:v>
                </c:pt>
                <c:pt idx="683">
                  <c:v>1587.6934287533063</c:v>
                </c:pt>
                <c:pt idx="684">
                  <c:v>1591.9012905693828</c:v>
                </c:pt>
                <c:pt idx="685">
                  <c:v>1596.1077229295893</c:v>
                </c:pt>
                <c:pt idx="686">
                  <c:v>1600.3125821386388</c:v>
                </c:pt>
                <c:pt idx="687">
                  <c:v>1604.515724900454</c:v>
                </c:pt>
                <c:pt idx="688">
                  <c:v>1608.7170083201902</c:v>
                </c:pt>
                <c:pt idx="689">
                  <c:v>1612.9162899061864</c:v>
                </c:pt>
                <c:pt idx="690">
                  <c:v>1617.1134275718439</c:v>
                </c:pt>
                <c:pt idx="691">
                  <c:v>1621.3082796374324</c:v>
                </c:pt>
                <c:pt idx="692">
                  <c:v>1625.5007048318271</c:v>
                </c:pt>
                <c:pt idx="693">
                  <c:v>1629.6905622941738</c:v>
                </c:pt>
                <c:pt idx="694">
                  <c:v>1633.8777115754863</c:v>
                </c:pt>
                <c:pt idx="695">
                  <c:v>1638.0620126401725</c:v>
                </c:pt>
                <c:pt idx="696">
                  <c:v>1642.2433258674946</c:v>
                </c:pt>
                <c:pt idx="697">
                  <c:v>1646.4215120529598</c:v>
                </c:pt>
                <c:pt idx="698">
                  <c:v>1650.5964324096451</c:v>
                </c:pt>
                <c:pt idx="699">
                  <c:v>1654.7679485694553</c:v>
                </c:pt>
                <c:pt idx="700">
                  <c:v>1658.9359225843154</c:v>
                </c:pt>
                <c:pt idx="701">
                  <c:v>1663.1002169272988</c:v>
                </c:pt>
                <c:pt idx="702">
                  <c:v>1667.2606944936897</c:v>
                </c:pt>
                <c:pt idx="703">
                  <c:v>1671.4172186019837</c:v>
                </c:pt>
                <c:pt idx="704">
                  <c:v>1675.5696529948236</c:v>
                </c:pt>
                <c:pt idx="705">
                  <c:v>1679.7178618398755</c:v>
                </c:pt>
                <c:pt idx="706">
                  <c:v>1683.8617097306403</c:v>
                </c:pt>
                <c:pt idx="707">
                  <c:v>1688.0010616872073</c:v>
                </c:pt>
                <c:pt idx="708">
                  <c:v>1692.1357822127266</c:v>
                </c:pt>
                <c:pt idx="709">
                  <c:v>1696.2657267977622</c:v>
                </c:pt>
                <c:pt idx="710">
                  <c:v>1700.3907428978966</c:v>
                </c:pt>
                <c:pt idx="711">
                  <c:v>1704.5106784636366</c:v>
                </c:pt>
                <c:pt idx="712">
                  <c:v>1708.6253819414571</c:v>
                </c:pt>
                <c:pt idx="713">
                  <c:v>1712.7347022747686</c:v>
                </c:pt>
                <c:pt idx="714">
                  <c:v>1716.8384889048079</c:v>
                </c:pt>
                <c:pt idx="715">
                  <c:v>1720.9365917714547</c:v>
                </c:pt>
                <c:pt idx="716">
                  <c:v>1725.0288613139726</c:v>
                </c:pt>
                <c:pt idx="717">
                  <c:v>1729.1151484716786</c:v>
                </c:pt>
                <c:pt idx="718">
                  <c:v>1733.1953046845385</c:v>
                </c:pt>
                <c:pt idx="719">
                  <c:v>1737.2691818936921</c:v>
                </c:pt>
                <c:pt idx="720">
                  <c:v>1741.3366325419074</c:v>
                </c:pt>
                <c:pt idx="721">
                  <c:v>1745.3975095739654</c:v>
                </c:pt>
                <c:pt idx="722">
                  <c:v>1749.4516664369769</c:v>
                </c:pt>
                <c:pt idx="723">
                  <c:v>1753.4989570806304</c:v>
                </c:pt>
                <c:pt idx="724">
                  <c:v>1757.5392359573743</c:v>
                </c:pt>
                <c:pt idx="725">
                  <c:v>1761.5722381298976</c:v>
                </c:pt>
                <c:pt idx="726">
                  <c:v>1765.5975283828532</c:v>
                </c:pt>
                <c:pt idx="727">
                  <c:v>1769.6148788286596</c:v>
                </c:pt>
                <c:pt idx="728">
                  <c:v>1773.6243194517308</c:v>
                </c:pt>
                <c:pt idx="729">
                  <c:v>1777.6258800519868</c:v>
                </c:pt>
                <c:pt idx="730">
                  <c:v>1781.6195902463794</c:v>
                </c:pt>
                <c:pt idx="731">
                  <c:v>1785.6054794704039</c:v>
                </c:pt>
                <c:pt idx="732">
                  <c:v>1789.5835769795935</c:v>
                </c:pt>
                <c:pt idx="733">
                  <c:v>1793.5539118509996</c:v>
                </c:pt>
                <c:pt idx="734">
                  <c:v>1797.5165129846557</c:v>
                </c:pt>
                <c:pt idx="735">
                  <c:v>1801.4714091050266</c:v>
                </c:pt>
                <c:pt idx="736">
                  <c:v>1805.4186287624429</c:v>
                </c:pt>
                <c:pt idx="737">
                  <c:v>1809.3582003345207</c:v>
                </c:pt>
                <c:pt idx="738">
                  <c:v>1813.2901520275661</c:v>
                </c:pt>
                <c:pt idx="739">
                  <c:v>1817.2145118779667</c:v>
                </c:pt>
                <c:pt idx="740">
                  <c:v>1821.1313077535674</c:v>
                </c:pt>
                <c:pt idx="741">
                  <c:v>1825.0405673550333</c:v>
                </c:pt>
                <c:pt idx="742">
                  <c:v>1828.9423182171979</c:v>
                </c:pt>
                <c:pt idx="743">
                  <c:v>1832.8365877103984</c:v>
                </c:pt>
                <c:pt idx="744">
                  <c:v>1836.7234030417969</c:v>
                </c:pt>
                <c:pt idx="745">
                  <c:v>1840.6027912566888</c:v>
                </c:pt>
                <c:pt idx="746">
                  <c:v>1844.4747792397973</c:v>
                </c:pt>
                <c:pt idx="747">
                  <c:v>1848.3393937165556</c:v>
                </c:pt>
                <c:pt idx="748">
                  <c:v>1852.1966612543758</c:v>
                </c:pt>
                <c:pt idx="749">
                  <c:v>1856.0466082639052</c:v>
                </c:pt>
                <c:pt idx="750">
                  <c:v>1859.8892610002699</c:v>
                </c:pt>
                <c:pt idx="751">
                  <c:v>1863.7246455643065</c:v>
                </c:pt>
                <c:pt idx="752">
                  <c:v>1867.5527879037809</c:v>
                </c:pt>
                <c:pt idx="753">
                  <c:v>1871.3737138145955</c:v>
                </c:pt>
                <c:pt idx="754">
                  <c:v>1875.187448941984</c:v>
                </c:pt>
                <c:pt idx="755">
                  <c:v>1878.9940187816949</c:v>
                </c:pt>
                <c:pt idx="756">
                  <c:v>1882.7934486811625</c:v>
                </c:pt>
                <c:pt idx="757">
                  <c:v>1886.5857638406674</c:v>
                </c:pt>
                <c:pt idx="758">
                  <c:v>1890.3709893144846</c:v>
                </c:pt>
                <c:pt idx="759">
                  <c:v>1894.1491500120212</c:v>
                </c:pt>
                <c:pt idx="760">
                  <c:v>1897.9202706989424</c:v>
                </c:pt>
                <c:pt idx="761">
                  <c:v>1901.6843759982867</c:v>
                </c:pt>
                <c:pt idx="762">
                  <c:v>1905.4414903915695</c:v>
                </c:pt>
                <c:pt idx="763">
                  <c:v>1909.1916382198779</c:v>
                </c:pt>
                <c:pt idx="764">
                  <c:v>1912.9348436849527</c:v>
                </c:pt>
                <c:pt idx="765">
                  <c:v>1916.6711308502611</c:v>
                </c:pt>
                <c:pt idx="766">
                  <c:v>1920.4005236420583</c:v>
                </c:pt>
                <c:pt idx="767">
                  <c:v>1924.1230458504399</c:v>
                </c:pt>
                <c:pt idx="768">
                  <c:v>1927.8387211303832</c:v>
                </c:pt>
                <c:pt idx="769">
                  <c:v>1931.5475730027786</c:v>
                </c:pt>
                <c:pt idx="770">
                  <c:v>1935.2496248554519</c:v>
                </c:pt>
                <c:pt idx="771">
                  <c:v>1938.9448999441754</c:v>
                </c:pt>
                <c:pt idx="772">
                  <c:v>1942.6334213936709</c:v>
                </c:pt>
                <c:pt idx="773">
                  <c:v>1946.3152121986022</c:v>
                </c:pt>
                <c:pt idx="774">
                  <c:v>1949.9902952245577</c:v>
                </c:pt>
                <c:pt idx="775">
                  <c:v>1953.6586932090252</c:v>
                </c:pt>
                <c:pt idx="776">
                  <c:v>1957.320428762356</c:v>
                </c:pt>
                <c:pt idx="777">
                  <c:v>1960.9755243687202</c:v>
                </c:pt>
                <c:pt idx="778">
                  <c:v>1964.6240023870541</c:v>
                </c:pt>
                <c:pt idx="779">
                  <c:v>1968.2658850519965</c:v>
                </c:pt>
                <c:pt idx="780">
                  <c:v>1971.9011944748181</c:v>
                </c:pt>
                <c:pt idx="781">
                  <c:v>1975.5299526443418</c:v>
                </c:pt>
                <c:pt idx="782">
                  <c:v>1979.1521814278535</c:v>
                </c:pt>
                <c:pt idx="783">
                  <c:v>1982.7679025720051</c:v>
                </c:pt>
                <c:pt idx="784">
                  <c:v>1986.377137703709</c:v>
                </c:pt>
                <c:pt idx="785">
                  <c:v>1989.9799083310238</c:v>
                </c:pt>
                <c:pt idx="786">
                  <c:v>1993.5762358440329</c:v>
                </c:pt>
                <c:pt idx="787">
                  <c:v>1997.1661415157134</c:v>
                </c:pt>
                <c:pt idx="788">
                  <c:v>2000.749646502798</c:v>
                </c:pt>
                <c:pt idx="789">
                  <c:v>2004.3267718466284</c:v>
                </c:pt>
                <c:pt idx="790">
                  <c:v>2007.8975384740017</c:v>
                </c:pt>
                <c:pt idx="791">
                  <c:v>2011.4619671980076</c:v>
                </c:pt>
                <c:pt idx="792">
                  <c:v>2015.0200787188592</c:v>
                </c:pt>
                <c:pt idx="793">
                  <c:v>2018.5718936247149</c:v>
                </c:pt>
                <c:pt idx="794">
                  <c:v>2022.1174323924945</c:v>
                </c:pt>
                <c:pt idx="795">
                  <c:v>2025.6567153886858</c:v>
                </c:pt>
                <c:pt idx="796">
                  <c:v>2029.1897628701458</c:v>
                </c:pt>
                <c:pt idx="797">
                  <c:v>2032.7165949848929</c:v>
                </c:pt>
                <c:pt idx="798">
                  <c:v>2036.237231772893</c:v>
                </c:pt>
                <c:pt idx="799">
                  <c:v>2039.7516931668379</c:v>
                </c:pt>
                <c:pt idx="800">
                  <c:v>2043.2599989929172</c:v>
                </c:pt>
                <c:pt idx="801">
                  <c:v>2078.0060281708388</c:v>
                </c:pt>
                <c:pt idx="802">
                  <c:v>2112.1491323008649</c:v>
                </c:pt>
                <c:pt idx="803">
                  <c:v>2145.7081616910705</c:v>
                </c:pt>
                <c:pt idx="804">
                  <c:v>2178.7009966273408</c:v>
                </c:pt>
                <c:pt idx="805">
                  <c:v>2211.1446135806937</c:v>
                </c:pt>
                <c:pt idx="806">
                  <c:v>2243.0551458048767</c:v>
                </c:pt>
                <c:pt idx="807">
                  <c:v>2274.4479388887657</c:v>
                </c:pt>
                <c:pt idx="808">
                  <c:v>2305.3376017625756</c:v>
                </c:pt>
                <c:pt idx="809">
                  <c:v>2335.7380535999819</c:v>
                </c:pt>
                <c:pt idx="810">
                  <c:v>2365.6625670086482</c:v>
                </c:pt>
                <c:pt idx="811">
                  <c:v>2395.1238078583497</c:v>
                </c:pt>
                <c:pt idx="812">
                  <c:v>2424.1338720579597</c:v>
                </c:pt>
                <c:pt idx="813">
                  <c:v>2452.7043195593083</c:v>
                </c:pt>
                <c:pt idx="814">
                  <c:v>2480.8462058366677</c:v>
                </c:pt>
                <c:pt idx="815">
                  <c:v>2508.5701110648524</c:v>
                </c:pt>
                <c:pt idx="816">
                  <c:v>2535.8861671961658</c:v>
                </c:pt>
                <c:pt idx="817">
                  <c:v>2562.8040831162975</c:v>
                </c:pt>
                <c:pt idx="818">
                  <c:v>2589.3331680414367</c:v>
                </c:pt>
                <c:pt idx="819">
                  <c:v>2615.4823533030199</c:v>
                </c:pt>
                <c:pt idx="820">
                  <c:v>2641.2602126524462</c:v>
                </c:pt>
                <c:pt idx="821">
                  <c:v>2666.6749812055318</c:v>
                </c:pt>
                <c:pt idx="822">
                  <c:v>2691.7345731352621</c:v>
                </c:pt>
                <c:pt idx="823">
                  <c:v>2716.446598211387</c:v>
                </c:pt>
                <c:pt idx="824">
                  <c:v>2740.8183772764237</c:v>
                </c:pt>
                <c:pt idx="825">
                  <c:v>2764.856956739583</c:v>
                </c:pt>
                <c:pt idx="826">
                  <c:v>2788.5691221629049</c:v>
                </c:pt>
                <c:pt idx="827">
                  <c:v>2811.9614110073899</c:v>
                </c:pt>
                <c:pt idx="828">
                  <c:v>2835.040124601046</c:v>
                </c:pt>
                <c:pt idx="829">
                  <c:v>2857.8113393854924</c:v>
                </c:pt>
                <c:pt idx="830">
                  <c:v>2880.280917492983</c:v>
                </c:pt>
                <c:pt idx="831">
                  <c:v>2902.4545167013976</c:v>
                </c:pt>
                <c:pt idx="832">
                  <c:v>2924.3375998108363</c:v>
                </c:pt>
                <c:pt idx="833">
                  <c:v>2945.9354434819061</c:v>
                </c:pt>
                <c:pt idx="834">
                  <c:v>2967.2531465725715</c:v>
                </c:pt>
                <c:pt idx="835">
                  <c:v>2988.2956380075125</c:v>
                </c:pt>
                <c:pt idx="836">
                  <c:v>3009.0676842112707</c:v>
                </c:pt>
                <c:pt idx="837">
                  <c:v>3029.5738961340426</c:v>
                </c:pt>
                <c:pt idx="838">
                  <c:v>3049.8187358967552</c:v>
                </c:pt>
                <c:pt idx="839">
                  <c:v>3069.8065230800562</c:v>
                </c:pt>
                <c:pt idx="840">
                  <c:v>3089.5414406799864</c:v>
                </c:pt>
                <c:pt idx="841">
                  <c:v>3109.0275407514282</c:v>
                </c:pt>
                <c:pt idx="842">
                  <c:v>3128.2687497588645</c:v>
                </c:pt>
                <c:pt idx="843">
                  <c:v>3147.2688736525733</c:v>
                </c:pt>
                <c:pt idx="844">
                  <c:v>3166.0316026870764</c:v>
                </c:pt>
                <c:pt idx="845">
                  <c:v>3184.5605159974684</c:v>
                </c:pt>
                <c:pt idx="846">
                  <c:v>3202.8590859481506</c:v>
                </c:pt>
                <c:pt idx="847">
                  <c:v>3220.9306822674848</c:v>
                </c:pt>
                <c:pt idx="848">
                  <c:v>3238.7785759809522</c:v>
                </c:pt>
                <c:pt idx="849">
                  <c:v>3256.4059431545388</c:v>
                </c:pt>
                <c:pt idx="850">
                  <c:v>3273.8158684592868</c:v>
                </c:pt>
                <c:pt idx="851">
                  <c:v>3291.0113485672064</c:v>
                </c:pt>
                <c:pt idx="852">
                  <c:v>3307.9952953880829</c:v>
                </c:pt>
                <c:pt idx="853">
                  <c:v>3324.7705391560735</c:v>
                </c:pt>
                <c:pt idx="854">
                  <c:v>3341.3398313744233</c:v>
                </c:pt>
                <c:pt idx="855">
                  <c:v>3357.7058476260854</c:v>
                </c:pt>
                <c:pt idx="856">
                  <c:v>3373.8711902575387</c:v>
                </c:pt>
                <c:pt idx="857">
                  <c:v>3389.8383909426329</c:v>
                </c:pt>
                <c:pt idx="858">
                  <c:v>3405.6099131328679</c:v>
                </c:pt>
                <c:pt idx="859">
                  <c:v>3421.1881544001117</c:v>
                </c:pt>
                <c:pt idx="860">
                  <c:v>3436.5754486773963</c:v>
                </c:pt>
                <c:pt idx="861">
                  <c:v>3451.7740684030882</c:v>
                </c:pt>
                <c:pt idx="862">
                  <c:v>3466.7862265734057</c:v>
                </c:pt>
                <c:pt idx="863">
                  <c:v>3481.6140787079644</c:v>
                </c:pt>
                <c:pt idx="864">
                  <c:v>3496.259724732749</c:v>
                </c:pt>
                <c:pt idx="865">
                  <c:v>3510.7252107846566</c:v>
                </c:pt>
                <c:pt idx="866">
                  <c:v>3525.0125309415107</c:v>
                </c:pt>
                <c:pt idx="867">
                  <c:v>3539.1236288812202</c:v>
                </c:pt>
                <c:pt idx="868">
                  <c:v>3553.0603994735529</c:v>
                </c:pt>
                <c:pt idx="869">
                  <c:v>3566.8246903077898</c:v>
                </c:pt>
                <c:pt idx="870">
                  <c:v>3580.4183031593416</c:v>
                </c:pt>
                <c:pt idx="871">
                  <c:v>3593.8429953982477</c:v>
                </c:pt>
                <c:pt idx="872">
                  <c:v>3607.1004813423015</c:v>
                </c:pt>
                <c:pt idx="873">
                  <c:v>3620.1924335574058</c:v>
                </c:pt>
                <c:pt idx="874">
                  <c:v>3633.1204841076169</c:v>
                </c:pt>
                <c:pt idx="875">
                  <c:v>3645.8862257572027</c:v>
                </c:pt>
                <c:pt idx="876">
                  <c:v>3658.4912131269157</c:v>
                </c:pt>
                <c:pt idx="877">
                  <c:v>3670.9369638065659</c:v>
                </c:pt>
                <c:pt idx="878">
                  <c:v>3683.2249594258692</c:v>
                </c:pt>
                <c:pt idx="879">
                  <c:v>3695.3566466854413</c:v>
                </c:pt>
                <c:pt idx="880">
                  <c:v>3707.3334383497104</c:v>
                </c:pt>
                <c:pt idx="881">
                  <c:v>3719.1567142034351</c:v>
                </c:pt>
                <c:pt idx="882">
                  <c:v>3730.827821973422</c:v>
                </c:pt>
                <c:pt idx="883">
                  <c:v>3742.3480782169599</c:v>
                </c:pt>
                <c:pt idx="884">
                  <c:v>3753.7187691784125</c:v>
                </c:pt>
                <c:pt idx="885">
                  <c:v>3764.9411516153359</c:v>
                </c:pt>
                <c:pt idx="886">
                  <c:v>3776.0164535954241</c:v>
                </c:pt>
                <c:pt idx="887">
                  <c:v>3786.9458752655169</c:v>
                </c:pt>
                <c:pt idx="888">
                  <c:v>3797.7305895938521</c:v>
                </c:pt>
                <c:pt idx="889">
                  <c:v>3808.3717430866759</c:v>
                </c:pt>
                <c:pt idx="890">
                  <c:v>3818.8704564802852</c:v>
                </c:pt>
                <c:pt idx="891">
                  <c:v>3829.2278254095122</c:v>
                </c:pt>
                <c:pt idx="892">
                  <c:v>3839.444921053625</c:v>
                </c:pt>
                <c:pt idx="893">
                  <c:v>3849.522790760564</c:v>
                </c:pt>
                <c:pt idx="894">
                  <c:v>3859.4624586503951</c:v>
                </c:pt>
                <c:pt idx="895">
                  <c:v>3869.264926198824</c:v>
                </c:pt>
                <c:pt idx="896">
                  <c:v>3878.9311728015687</c:v>
                </c:pt>
                <c:pt idx="897">
                  <c:v>3888.4621563203596</c:v>
                </c:pt>
                <c:pt idx="898">
                  <c:v>3897.8588136112994</c:v>
                </c:pt>
                <c:pt idx="899">
                  <c:v>3907.1220610362816</c:v>
                </c:pt>
                <c:pt idx="900">
                  <c:v>3916.2527949581363</c:v>
                </c:pt>
                <c:pt idx="901">
                  <c:v>3925.2518922201466</c:v>
                </c:pt>
                <c:pt idx="902">
                  <c:v>3934.1202106105443</c:v>
                </c:pt>
                <c:pt idx="903">
                  <c:v>3942.8585893125755</c:v>
                </c:pt>
                <c:pt idx="904">
                  <c:v>3951.4678493406968</c:v>
                </c:pt>
                <c:pt idx="905">
                  <c:v>3959.9487939634414</c:v>
                </c:pt>
                <c:pt idx="906">
                  <c:v>3968.3022091134726</c:v>
                </c:pt>
                <c:pt idx="907">
                  <c:v>3976.5288637853196</c:v>
                </c:pt>
                <c:pt idx="908">
                  <c:v>3984.6295104212741</c:v>
                </c:pt>
                <c:pt idx="909">
                  <c:v>3992.6048852859035</c:v>
                </c:pt>
                <c:pt idx="910">
                  <c:v>4000.4557088296215</c:v>
                </c:pt>
                <c:pt idx="911">
                  <c:v>4008.1826860417373</c:v>
                </c:pt>
                <c:pt idx="912">
                  <c:v>4015.7865067933944</c:v>
                </c:pt>
                <c:pt idx="913">
                  <c:v>4023.2678461707878</c:v>
                </c:pt>
                <c:pt idx="914">
                  <c:v>4030.6273647990361</c:v>
                </c:pt>
                <c:pt idx="915">
                  <c:v>4037.8657091570776</c:v>
                </c:pt>
                <c:pt idx="916">
                  <c:v>4044.9835118839364</c:v>
                </c:pt>
                <c:pt idx="917">
                  <c:v>4051.9813920767024</c:v>
                </c:pt>
                <c:pt idx="918">
                  <c:v>4058.8599555805486</c:v>
                </c:pt>
                <c:pt idx="919">
                  <c:v>4065.6197952711068</c:v>
                </c:pt>
                <c:pt idx="920">
                  <c:v>4072.2614913295051</c:v>
                </c:pt>
                <c:pt idx="921">
                  <c:v>4078.7856115103673</c:v>
                </c:pt>
                <c:pt idx="922">
                  <c:v>4085.1927114030586</c:v>
                </c:pt>
                <c:pt idx="923">
                  <c:v>4091.4833346864611</c:v>
                </c:pt>
                <c:pt idx="924">
                  <c:v>4097.6580133775451</c:v>
                </c:pt>
                <c:pt idx="925">
                  <c:v>4103.7172680740068</c:v>
                </c:pt>
                <c:pt idx="926">
                  <c:v>4109.6616081912189</c:v>
                </c:pt>
                <c:pt idx="927">
                  <c:v>4115.491532193756</c:v>
                </c:pt>
                <c:pt idx="928">
                  <c:v>4121.2075278217244</c:v>
                </c:pt>
                <c:pt idx="929">
                  <c:v>4126.8100723121424</c:v>
                </c:pt>
                <c:pt idx="930">
                  <c:v>4132.2996326156008</c:v>
                </c:pt>
                <c:pt idx="931">
                  <c:v>4137.6766656084264</c:v>
                </c:pt>
                <c:pt idx="932">
                  <c:v>4142.9416183005715</c:v>
                </c:pt>
                <c:pt idx="933">
                  <c:v>4148.0949280394434</c:v>
                </c:pt>
                <c:pt idx="934">
                  <c:v>4153.1370227098887</c:v>
                </c:pt>
                <c:pt idx="935">
                  <c:v>4158.0683209305334</c:v>
                </c:pt>
                <c:pt idx="936">
                  <c:v>4162.8892322466909</c:v>
                </c:pt>
                <c:pt idx="937">
                  <c:v>4167.6001573200238</c:v>
                </c:pt>
                <c:pt idx="938">
                  <c:v>4172.2014881151681</c:v>
                </c:pt>
                <c:pt idx="939">
                  <c:v>4176.6936080835012</c:v>
                </c:pt>
                <c:pt idx="940">
                  <c:v>4181.0768923442456</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5.5</c:v>
                </c:pt>
              </c:numCache>
            </c:numRef>
          </c:xVal>
          <c:yVal>
            <c:numRef>
              <c:f>Trajecto!$C$158</c:f>
              <c:numCache>
                <c:formatCode>0</c:formatCode>
                <c:ptCount val="1"/>
                <c:pt idx="0">
                  <c:v>2090.5384461721228</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#N/A</c:v>
                </c:pt>
              </c:numCache>
            </c:numRef>
          </c:xVal>
          <c:yVal>
            <c:numRef>
              <c:f>Trajecto!$C$159</c:f>
              <c:numCache>
                <c:formatCode>0</c:formatCode>
                <c:ptCount val="1"/>
                <c:pt idx="0">
                  <c:v>2135.4272754038516</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Calculs!$Q$4:$Q$1004</c:f>
              <c:numCache>
                <c:formatCode>0.00</c:formatCode>
                <c:ptCount val="1001"/>
                <c:pt idx="0">
                  <c:v>0</c:v>
                </c:pt>
                <c:pt idx="1">
                  <c:v>172.8075</c:v>
                </c:pt>
                <c:pt idx="2">
                  <c:v>518.42250000000001</c:v>
                </c:pt>
                <c:pt idx="3">
                  <c:v>864.03749999999991</c:v>
                </c:pt>
                <c:pt idx="4">
                  <c:v>1209.6525000000001</c:v>
                </c:pt>
                <c:pt idx="5">
                  <c:v>1422.045875</c:v>
                </c:pt>
                <c:pt idx="6">
                  <c:v>1501.217625</c:v>
                </c:pt>
                <c:pt idx="7">
                  <c:v>1580.389375</c:v>
                </c:pt>
                <c:pt idx="8">
                  <c:v>1659.5611249999999</c:v>
                </c:pt>
                <c:pt idx="9">
                  <c:v>1702.5443966942148</c:v>
                </c:pt>
                <c:pt idx="10">
                  <c:v>1709.3391900826446</c:v>
                </c:pt>
                <c:pt idx="11">
                  <c:v>1716.1339834710743</c:v>
                </c:pt>
                <c:pt idx="12">
                  <c:v>1722.9287768595041</c:v>
                </c:pt>
                <c:pt idx="13">
                  <c:v>1729.7235702479338</c:v>
                </c:pt>
                <c:pt idx="14">
                  <c:v>1736.5183636363636</c:v>
                </c:pt>
                <c:pt idx="15">
                  <c:v>1743.3131570247933</c:v>
                </c:pt>
                <c:pt idx="16">
                  <c:v>1750.1079504132231</c:v>
                </c:pt>
                <c:pt idx="17">
                  <c:v>1756.9027438016528</c:v>
                </c:pt>
                <c:pt idx="18">
                  <c:v>1763.6975371900826</c:v>
                </c:pt>
                <c:pt idx="19">
                  <c:v>1770.4923305785123</c:v>
                </c:pt>
                <c:pt idx="20">
                  <c:v>1777.2871239669421</c:v>
                </c:pt>
                <c:pt idx="21">
                  <c:v>1781.5620487804879</c:v>
                </c:pt>
                <c:pt idx="22">
                  <c:v>1782.0571707317074</c:v>
                </c:pt>
                <c:pt idx="23">
                  <c:v>1782.5522926829269</c:v>
                </c:pt>
                <c:pt idx="24">
                  <c:v>1783.0474146341464</c:v>
                </c:pt>
                <c:pt idx="25">
                  <c:v>1783.542536585366</c:v>
                </c:pt>
                <c:pt idx="26">
                  <c:v>1784.0376585365855</c:v>
                </c:pt>
                <c:pt idx="27">
                  <c:v>1784.532780487805</c:v>
                </c:pt>
                <c:pt idx="28">
                  <c:v>1785.0279024390245</c:v>
                </c:pt>
                <c:pt idx="29">
                  <c:v>1785.523024390244</c:v>
                </c:pt>
                <c:pt idx="30">
                  <c:v>1786.0181463414635</c:v>
                </c:pt>
                <c:pt idx="31">
                  <c:v>1786.5132682926831</c:v>
                </c:pt>
                <c:pt idx="32">
                  <c:v>1787.0083902439026</c:v>
                </c:pt>
                <c:pt idx="33">
                  <c:v>1787.5035121951221</c:v>
                </c:pt>
                <c:pt idx="34">
                  <c:v>1787.9986341463416</c:v>
                </c:pt>
                <c:pt idx="35">
                  <c:v>1788.4937560975611</c:v>
                </c:pt>
                <c:pt idx="36">
                  <c:v>1788.9888780487806</c:v>
                </c:pt>
                <c:pt idx="37">
                  <c:v>1789.4840000000002</c:v>
                </c:pt>
                <c:pt idx="38">
                  <c:v>1789.9791219512197</c:v>
                </c:pt>
                <c:pt idx="39">
                  <c:v>1790.4742439024392</c:v>
                </c:pt>
                <c:pt idx="40">
                  <c:v>1790.9693658536587</c:v>
                </c:pt>
                <c:pt idx="41">
                  <c:v>1791.4644878048782</c:v>
                </c:pt>
                <c:pt idx="42">
                  <c:v>1791.9596097560977</c:v>
                </c:pt>
                <c:pt idx="43">
                  <c:v>1792.4547317073173</c:v>
                </c:pt>
                <c:pt idx="44">
                  <c:v>1792.9498536585368</c:v>
                </c:pt>
                <c:pt idx="45">
                  <c:v>1793.4449756097563</c:v>
                </c:pt>
                <c:pt idx="46">
                  <c:v>1794.4931255411257</c:v>
                </c:pt>
                <c:pt idx="47">
                  <c:v>1795.6795324675327</c:v>
                </c:pt>
                <c:pt idx="48">
                  <c:v>1796.8659393939395</c:v>
                </c:pt>
                <c:pt idx="49">
                  <c:v>1798.0523463203465</c:v>
                </c:pt>
                <c:pt idx="50">
                  <c:v>1799.2387532467533</c:v>
                </c:pt>
                <c:pt idx="51">
                  <c:v>1800.4251601731603</c:v>
                </c:pt>
                <c:pt idx="52">
                  <c:v>1801.6115670995673</c:v>
                </c:pt>
                <c:pt idx="53">
                  <c:v>1802.7979740259741</c:v>
                </c:pt>
                <c:pt idx="54">
                  <c:v>1803.9843809523811</c:v>
                </c:pt>
                <c:pt idx="55">
                  <c:v>1805.1707878787879</c:v>
                </c:pt>
                <c:pt idx="56">
                  <c:v>1806.3571948051949</c:v>
                </c:pt>
                <c:pt idx="57">
                  <c:v>1807.5436017316019</c:v>
                </c:pt>
                <c:pt idx="58">
                  <c:v>1808.7300086580087</c:v>
                </c:pt>
                <c:pt idx="59">
                  <c:v>1809.9164155844157</c:v>
                </c:pt>
                <c:pt idx="60">
                  <c:v>1811.1028225108225</c:v>
                </c:pt>
                <c:pt idx="61">
                  <c:v>1812.2892294372296</c:v>
                </c:pt>
                <c:pt idx="62">
                  <c:v>1813.4756363636366</c:v>
                </c:pt>
                <c:pt idx="63">
                  <c:v>1814.6620432900434</c:v>
                </c:pt>
                <c:pt idx="64">
                  <c:v>1815.8484502164504</c:v>
                </c:pt>
                <c:pt idx="65">
                  <c:v>1817.0348571428572</c:v>
                </c:pt>
                <c:pt idx="66">
                  <c:v>1818.2212640692642</c:v>
                </c:pt>
                <c:pt idx="67">
                  <c:v>1819.4076709956712</c:v>
                </c:pt>
                <c:pt idx="68">
                  <c:v>1820.594077922078</c:v>
                </c:pt>
                <c:pt idx="69">
                  <c:v>1830.2754875000005</c:v>
                </c:pt>
                <c:pt idx="70">
                  <c:v>1843.5976125000004</c:v>
                </c:pt>
                <c:pt idx="71">
                  <c:v>1856.9197375000006</c:v>
                </c:pt>
                <c:pt idx="72">
                  <c:v>1870.2418625000005</c:v>
                </c:pt>
                <c:pt idx="73">
                  <c:v>1883.5639875000006</c:v>
                </c:pt>
                <c:pt idx="74">
                  <c:v>1896.8861125000005</c:v>
                </c:pt>
                <c:pt idx="75">
                  <c:v>1910.2082375000007</c:v>
                </c:pt>
                <c:pt idx="76">
                  <c:v>1923.5303625000006</c:v>
                </c:pt>
                <c:pt idx="77">
                  <c:v>1921.2446105263155</c:v>
                </c:pt>
                <c:pt idx="78">
                  <c:v>1912.2697684210523</c:v>
                </c:pt>
                <c:pt idx="79">
                  <c:v>1903.2949263157891</c:v>
                </c:pt>
                <c:pt idx="80">
                  <c:v>1894.3200842105259</c:v>
                </c:pt>
                <c:pt idx="81">
                  <c:v>1885.3452421052627</c:v>
                </c:pt>
                <c:pt idx="82">
                  <c:v>1876.3703999999996</c:v>
                </c:pt>
                <c:pt idx="83">
                  <c:v>1867.3955578947364</c:v>
                </c:pt>
                <c:pt idx="84">
                  <c:v>1858.4207157894732</c:v>
                </c:pt>
                <c:pt idx="85">
                  <c:v>1849.44587368421</c:v>
                </c:pt>
                <c:pt idx="86">
                  <c:v>1842.5798040712471</c:v>
                </c:pt>
                <c:pt idx="87">
                  <c:v>1844.148824427481</c:v>
                </c:pt>
                <c:pt idx="88">
                  <c:v>1845.7178447837152</c:v>
                </c:pt>
                <c:pt idx="89">
                  <c:v>1847.2868651399492</c:v>
                </c:pt>
                <c:pt idx="90">
                  <c:v>1848.8558854961834</c:v>
                </c:pt>
                <c:pt idx="91">
                  <c:v>1850.4249058524174</c:v>
                </c:pt>
                <c:pt idx="92">
                  <c:v>1851.9939262086516</c:v>
                </c:pt>
                <c:pt idx="93">
                  <c:v>1853.5629465648856</c:v>
                </c:pt>
                <c:pt idx="94">
                  <c:v>1855.1319669211198</c:v>
                </c:pt>
                <c:pt idx="95">
                  <c:v>1856.7009872773538</c:v>
                </c:pt>
                <c:pt idx="96">
                  <c:v>1858.270007633588</c:v>
                </c:pt>
                <c:pt idx="97">
                  <c:v>1859.8390279898222</c:v>
                </c:pt>
                <c:pt idx="98">
                  <c:v>1861.4080483460561</c:v>
                </c:pt>
                <c:pt idx="99">
                  <c:v>1862.9770687022904</c:v>
                </c:pt>
                <c:pt idx="100">
                  <c:v>1864.5460890585243</c:v>
                </c:pt>
                <c:pt idx="101">
                  <c:v>1866.1151094147585</c:v>
                </c:pt>
                <c:pt idx="102">
                  <c:v>1867.6841297709925</c:v>
                </c:pt>
                <c:pt idx="103">
                  <c:v>1869.2531501272267</c:v>
                </c:pt>
                <c:pt idx="104">
                  <c:v>1870.8221704834607</c:v>
                </c:pt>
                <c:pt idx="105">
                  <c:v>1872.3911908396949</c:v>
                </c:pt>
                <c:pt idx="106">
                  <c:v>1873.9602111959289</c:v>
                </c:pt>
                <c:pt idx="107">
                  <c:v>1875.5292315521631</c:v>
                </c:pt>
                <c:pt idx="108">
                  <c:v>1877.0982519083973</c:v>
                </c:pt>
                <c:pt idx="109">
                  <c:v>1878.6672722646313</c:v>
                </c:pt>
                <c:pt idx="110">
                  <c:v>1880.2362926208655</c:v>
                </c:pt>
                <c:pt idx="111">
                  <c:v>1881.8053129770994</c:v>
                </c:pt>
                <c:pt idx="112">
                  <c:v>1883.3743333333337</c:v>
                </c:pt>
                <c:pt idx="113">
                  <c:v>1884.9433536895676</c:v>
                </c:pt>
                <c:pt idx="114">
                  <c:v>1886.5123740458018</c:v>
                </c:pt>
                <c:pt idx="115">
                  <c:v>1888.0813944020358</c:v>
                </c:pt>
                <c:pt idx="116">
                  <c:v>1889.65041475827</c:v>
                </c:pt>
                <c:pt idx="117">
                  <c:v>1891.219435114504</c:v>
                </c:pt>
                <c:pt idx="118">
                  <c:v>1892.7884554707382</c:v>
                </c:pt>
                <c:pt idx="119">
                  <c:v>1894.3574758269722</c:v>
                </c:pt>
                <c:pt idx="120">
                  <c:v>1895.9264961832064</c:v>
                </c:pt>
                <c:pt idx="121">
                  <c:v>1897.4955165394404</c:v>
                </c:pt>
                <c:pt idx="122">
                  <c:v>1899.0645368956746</c:v>
                </c:pt>
                <c:pt idx="123">
                  <c:v>1900.6335572519088</c:v>
                </c:pt>
                <c:pt idx="124">
                  <c:v>1902.2025776081427</c:v>
                </c:pt>
                <c:pt idx="125">
                  <c:v>1903.771597964377</c:v>
                </c:pt>
                <c:pt idx="126">
                  <c:v>1905.3406183206109</c:v>
                </c:pt>
                <c:pt idx="127">
                  <c:v>1906.9096386768451</c:v>
                </c:pt>
                <c:pt idx="128">
                  <c:v>1908.4786590330791</c:v>
                </c:pt>
                <c:pt idx="129">
                  <c:v>1910.0476793893133</c:v>
                </c:pt>
                <c:pt idx="130">
                  <c:v>1911.6166997455473</c:v>
                </c:pt>
                <c:pt idx="131">
                  <c:v>1913.1857201017815</c:v>
                </c:pt>
                <c:pt idx="132">
                  <c:v>1914.7547404580155</c:v>
                </c:pt>
                <c:pt idx="133">
                  <c:v>1916.3237608142497</c:v>
                </c:pt>
                <c:pt idx="134">
                  <c:v>1917.8927811704837</c:v>
                </c:pt>
                <c:pt idx="135">
                  <c:v>1919.4618015267179</c:v>
                </c:pt>
                <c:pt idx="136">
                  <c:v>1921.0308218829518</c:v>
                </c:pt>
                <c:pt idx="137">
                  <c:v>1922.599842239186</c:v>
                </c:pt>
                <c:pt idx="138">
                  <c:v>1924.1688625954203</c:v>
                </c:pt>
                <c:pt idx="139">
                  <c:v>1925.7378829516542</c:v>
                </c:pt>
                <c:pt idx="140">
                  <c:v>1927.3069033078884</c:v>
                </c:pt>
                <c:pt idx="141">
                  <c:v>1928.8759236641224</c:v>
                </c:pt>
                <c:pt idx="142">
                  <c:v>1930.4449440203566</c:v>
                </c:pt>
                <c:pt idx="143">
                  <c:v>1932.0139643765906</c:v>
                </c:pt>
                <c:pt idx="144">
                  <c:v>1933.5829847328248</c:v>
                </c:pt>
                <c:pt idx="145">
                  <c:v>1935.1520050890588</c:v>
                </c:pt>
                <c:pt idx="146">
                  <c:v>1936.721025445293</c:v>
                </c:pt>
                <c:pt idx="147">
                  <c:v>1938.290045801527</c:v>
                </c:pt>
                <c:pt idx="148">
                  <c:v>1939.8590661577612</c:v>
                </c:pt>
                <c:pt idx="149">
                  <c:v>1941.4280865139951</c:v>
                </c:pt>
                <c:pt idx="150">
                  <c:v>1942.9971068702293</c:v>
                </c:pt>
                <c:pt idx="151">
                  <c:v>1944.5661272264633</c:v>
                </c:pt>
                <c:pt idx="152">
                  <c:v>1946.1351475826975</c:v>
                </c:pt>
                <c:pt idx="153">
                  <c:v>1947.7041679389317</c:v>
                </c:pt>
                <c:pt idx="154">
                  <c:v>1949.2731882951657</c:v>
                </c:pt>
                <c:pt idx="155">
                  <c:v>1950.8422086513999</c:v>
                </c:pt>
                <c:pt idx="156">
                  <c:v>1952.4112290076339</c:v>
                </c:pt>
                <c:pt idx="157">
                  <c:v>1953.9802493638681</c:v>
                </c:pt>
                <c:pt idx="158">
                  <c:v>1955.5492697201021</c:v>
                </c:pt>
                <c:pt idx="159">
                  <c:v>1957.1182900763363</c:v>
                </c:pt>
                <c:pt idx="160">
                  <c:v>1958.6873104325703</c:v>
                </c:pt>
                <c:pt idx="161">
                  <c:v>1960.2563307888045</c:v>
                </c:pt>
                <c:pt idx="162">
                  <c:v>1961.8253511450384</c:v>
                </c:pt>
                <c:pt idx="163">
                  <c:v>1963.3943715012726</c:v>
                </c:pt>
                <c:pt idx="164">
                  <c:v>1964.9633918575066</c:v>
                </c:pt>
                <c:pt idx="165">
                  <c:v>1966.5324122137408</c:v>
                </c:pt>
                <c:pt idx="166">
                  <c:v>1968.1014325699748</c:v>
                </c:pt>
                <c:pt idx="167">
                  <c:v>1969.670452926209</c:v>
                </c:pt>
                <c:pt idx="168">
                  <c:v>1971.2394732824432</c:v>
                </c:pt>
                <c:pt idx="169">
                  <c:v>1972.8084936386772</c:v>
                </c:pt>
                <c:pt idx="170">
                  <c:v>1974.3775139949114</c:v>
                </c:pt>
                <c:pt idx="171">
                  <c:v>1975.9465343511454</c:v>
                </c:pt>
                <c:pt idx="172">
                  <c:v>1977.5155547073796</c:v>
                </c:pt>
                <c:pt idx="173">
                  <c:v>1979.0845750636136</c:v>
                </c:pt>
                <c:pt idx="174">
                  <c:v>1980.6535954198478</c:v>
                </c:pt>
                <c:pt idx="175">
                  <c:v>1982.2226157760817</c:v>
                </c:pt>
                <c:pt idx="176">
                  <c:v>1983.7916361323159</c:v>
                </c:pt>
                <c:pt idx="177">
                  <c:v>1985.3606564885499</c:v>
                </c:pt>
                <c:pt idx="178">
                  <c:v>1986.9296768447841</c:v>
                </c:pt>
                <c:pt idx="179">
                  <c:v>1988.4986972010181</c:v>
                </c:pt>
                <c:pt idx="180">
                  <c:v>1990.0677175572523</c:v>
                </c:pt>
                <c:pt idx="181">
                  <c:v>1991.6367379134863</c:v>
                </c:pt>
                <c:pt idx="182">
                  <c:v>1993.2057582697205</c:v>
                </c:pt>
                <c:pt idx="183">
                  <c:v>1994.7747786259547</c:v>
                </c:pt>
                <c:pt idx="184">
                  <c:v>1996.3437989821887</c:v>
                </c:pt>
                <c:pt idx="185">
                  <c:v>1997.9128193384229</c:v>
                </c:pt>
                <c:pt idx="186">
                  <c:v>1999.4818396946569</c:v>
                </c:pt>
                <c:pt idx="187">
                  <c:v>2001.0508600508911</c:v>
                </c:pt>
                <c:pt idx="188">
                  <c:v>2002.619880407125</c:v>
                </c:pt>
                <c:pt idx="189">
                  <c:v>2004.1889007633592</c:v>
                </c:pt>
                <c:pt idx="190">
                  <c:v>2005.7579211195932</c:v>
                </c:pt>
                <c:pt idx="191">
                  <c:v>2007.3269414758274</c:v>
                </c:pt>
                <c:pt idx="192">
                  <c:v>2008.8959618320614</c:v>
                </c:pt>
                <c:pt idx="193">
                  <c:v>2010.4649821882956</c:v>
                </c:pt>
                <c:pt idx="194">
                  <c:v>2012.0340025445296</c:v>
                </c:pt>
                <c:pt idx="195">
                  <c:v>2013.6030229007638</c:v>
                </c:pt>
                <c:pt idx="196">
                  <c:v>2015.1720432569978</c:v>
                </c:pt>
                <c:pt idx="197">
                  <c:v>2016.741063613232</c:v>
                </c:pt>
                <c:pt idx="198">
                  <c:v>2018.3100839694662</c:v>
                </c:pt>
                <c:pt idx="199">
                  <c:v>2019.8791043257002</c:v>
                </c:pt>
                <c:pt idx="200">
                  <c:v>2021.4481246819341</c:v>
                </c:pt>
                <c:pt idx="201">
                  <c:v>2023.0171450381683</c:v>
                </c:pt>
                <c:pt idx="202">
                  <c:v>2024.5861653944023</c:v>
                </c:pt>
                <c:pt idx="203">
                  <c:v>2026.1551857506365</c:v>
                </c:pt>
                <c:pt idx="204">
                  <c:v>2027.7242061068705</c:v>
                </c:pt>
                <c:pt idx="205">
                  <c:v>2029.2932264631045</c:v>
                </c:pt>
                <c:pt idx="206">
                  <c:v>2030.8622468193387</c:v>
                </c:pt>
                <c:pt idx="207">
                  <c:v>2032.4312671755727</c:v>
                </c:pt>
                <c:pt idx="208">
                  <c:v>2034.0002875318069</c:v>
                </c:pt>
                <c:pt idx="209">
                  <c:v>2035.5693078880408</c:v>
                </c:pt>
                <c:pt idx="210">
                  <c:v>2037.1383282442748</c:v>
                </c:pt>
                <c:pt idx="211">
                  <c:v>2038.707348600509</c:v>
                </c:pt>
                <c:pt idx="212">
                  <c:v>2040.276368956743</c:v>
                </c:pt>
                <c:pt idx="213">
                  <c:v>2041.845389312977</c:v>
                </c:pt>
                <c:pt idx="214">
                  <c:v>2043.4144096692112</c:v>
                </c:pt>
                <c:pt idx="215">
                  <c:v>2044.9834300254452</c:v>
                </c:pt>
                <c:pt idx="216">
                  <c:v>2046.5524503816791</c:v>
                </c:pt>
                <c:pt idx="217">
                  <c:v>2048.1214707379131</c:v>
                </c:pt>
                <c:pt idx="218">
                  <c:v>2049.6904910941475</c:v>
                </c:pt>
                <c:pt idx="219">
                  <c:v>2051.2595114503815</c:v>
                </c:pt>
                <c:pt idx="220">
                  <c:v>2052.8285318066155</c:v>
                </c:pt>
                <c:pt idx="221">
                  <c:v>2054.3975521628495</c:v>
                </c:pt>
                <c:pt idx="222">
                  <c:v>2055.9665725190835</c:v>
                </c:pt>
                <c:pt idx="223">
                  <c:v>2057.5355928753179</c:v>
                </c:pt>
                <c:pt idx="224">
                  <c:v>2059.1046132315519</c:v>
                </c:pt>
                <c:pt idx="225">
                  <c:v>2060.6736335877858</c:v>
                </c:pt>
                <c:pt idx="226">
                  <c:v>2062.2426539440198</c:v>
                </c:pt>
                <c:pt idx="227">
                  <c:v>2063.8116743002538</c:v>
                </c:pt>
                <c:pt idx="228">
                  <c:v>2065.3806946564882</c:v>
                </c:pt>
                <c:pt idx="229">
                  <c:v>2066.9497150127222</c:v>
                </c:pt>
                <c:pt idx="230">
                  <c:v>2068.5187353689562</c:v>
                </c:pt>
                <c:pt idx="231">
                  <c:v>2070.0877557251902</c:v>
                </c:pt>
                <c:pt idx="232">
                  <c:v>2071.6567760814241</c:v>
                </c:pt>
                <c:pt idx="233">
                  <c:v>2073.2257964376586</c:v>
                </c:pt>
                <c:pt idx="234">
                  <c:v>2074.7948167938926</c:v>
                </c:pt>
                <c:pt idx="235">
                  <c:v>2076.3638371501265</c:v>
                </c:pt>
                <c:pt idx="236">
                  <c:v>2077.9328575063605</c:v>
                </c:pt>
                <c:pt idx="237">
                  <c:v>2079.5018778625945</c:v>
                </c:pt>
                <c:pt idx="238">
                  <c:v>2081.0708982188285</c:v>
                </c:pt>
                <c:pt idx="239">
                  <c:v>2082.6399185750629</c:v>
                </c:pt>
                <c:pt idx="240">
                  <c:v>2084.2089389312969</c:v>
                </c:pt>
                <c:pt idx="241">
                  <c:v>2085.7779592875308</c:v>
                </c:pt>
                <c:pt idx="242">
                  <c:v>2087.3469796437648</c:v>
                </c:pt>
                <c:pt idx="243">
                  <c:v>2088.9159999999988</c:v>
                </c:pt>
                <c:pt idx="244">
                  <c:v>2098.5319999999929</c:v>
                </c:pt>
                <c:pt idx="245">
                  <c:v>2108.1479999999924</c:v>
                </c:pt>
                <c:pt idx="246">
                  <c:v>2117.7639999999924</c:v>
                </c:pt>
                <c:pt idx="247">
                  <c:v>2127.3799999999919</c:v>
                </c:pt>
                <c:pt idx="248">
                  <c:v>2136.9959999999919</c:v>
                </c:pt>
                <c:pt idx="249">
                  <c:v>2146.6119999999914</c:v>
                </c:pt>
                <c:pt idx="250">
                  <c:v>2156.2279999999914</c:v>
                </c:pt>
                <c:pt idx="251">
                  <c:v>2165.843999999991</c:v>
                </c:pt>
                <c:pt idx="252">
                  <c:v>2175.4599999999909</c:v>
                </c:pt>
                <c:pt idx="253">
                  <c:v>2180.647045643153</c:v>
                </c:pt>
                <c:pt idx="254">
                  <c:v>2181.4051369294598</c:v>
                </c:pt>
                <c:pt idx="255">
                  <c:v>2182.163228215767</c:v>
                </c:pt>
                <c:pt idx="256">
                  <c:v>2182.9213195020739</c:v>
                </c:pt>
                <c:pt idx="257">
                  <c:v>2183.6794107883811</c:v>
                </c:pt>
                <c:pt idx="258">
                  <c:v>2184.4375020746879</c:v>
                </c:pt>
                <c:pt idx="259">
                  <c:v>2185.1955933609952</c:v>
                </c:pt>
                <c:pt idx="260">
                  <c:v>2185.953684647302</c:v>
                </c:pt>
                <c:pt idx="261">
                  <c:v>2186.7117759336093</c:v>
                </c:pt>
                <c:pt idx="262">
                  <c:v>2187.4698672199161</c:v>
                </c:pt>
                <c:pt idx="263">
                  <c:v>2188.2279585062233</c:v>
                </c:pt>
                <c:pt idx="264">
                  <c:v>2188.9860497925301</c:v>
                </c:pt>
                <c:pt idx="265">
                  <c:v>2189.7441410788374</c:v>
                </c:pt>
                <c:pt idx="266">
                  <c:v>2190.5022323651442</c:v>
                </c:pt>
                <c:pt idx="267">
                  <c:v>2191.2603236514515</c:v>
                </c:pt>
                <c:pt idx="268">
                  <c:v>2192.0184149377583</c:v>
                </c:pt>
                <c:pt idx="269">
                  <c:v>2192.7765062240655</c:v>
                </c:pt>
                <c:pt idx="270">
                  <c:v>2193.5345975103724</c:v>
                </c:pt>
                <c:pt idx="271">
                  <c:v>2194.2926887966796</c:v>
                </c:pt>
                <c:pt idx="272">
                  <c:v>2195.0507800829864</c:v>
                </c:pt>
                <c:pt idx="273">
                  <c:v>2195.8088713692937</c:v>
                </c:pt>
                <c:pt idx="274">
                  <c:v>2196.5669626556005</c:v>
                </c:pt>
                <c:pt idx="275">
                  <c:v>2197.3250539419078</c:v>
                </c:pt>
                <c:pt idx="276">
                  <c:v>2198.0831452282146</c:v>
                </c:pt>
                <c:pt idx="277">
                  <c:v>2198.6284962852892</c:v>
                </c:pt>
                <c:pt idx="278">
                  <c:v>2198.854736998514</c:v>
                </c:pt>
                <c:pt idx="279">
                  <c:v>2199.0809777117383</c:v>
                </c:pt>
                <c:pt idx="280">
                  <c:v>2199.3072184249627</c:v>
                </c:pt>
                <c:pt idx="281">
                  <c:v>2199.533459138187</c:v>
                </c:pt>
                <c:pt idx="282">
                  <c:v>2199.7596998514114</c:v>
                </c:pt>
                <c:pt idx="283">
                  <c:v>2199.9859405646357</c:v>
                </c:pt>
                <c:pt idx="284">
                  <c:v>2200.2121812778601</c:v>
                </c:pt>
                <c:pt idx="285">
                  <c:v>2200.4384219910844</c:v>
                </c:pt>
                <c:pt idx="286">
                  <c:v>2200.6646627043087</c:v>
                </c:pt>
                <c:pt idx="287">
                  <c:v>2200.8909034175331</c:v>
                </c:pt>
                <c:pt idx="288">
                  <c:v>2201.1171441307574</c:v>
                </c:pt>
                <c:pt idx="289">
                  <c:v>2201.3433848439818</c:v>
                </c:pt>
                <c:pt idx="290">
                  <c:v>2201.5696255572061</c:v>
                </c:pt>
                <c:pt idx="291">
                  <c:v>2201.7958662704305</c:v>
                </c:pt>
                <c:pt idx="292">
                  <c:v>2202.0221069836548</c:v>
                </c:pt>
                <c:pt idx="293">
                  <c:v>2202.2483476968791</c:v>
                </c:pt>
                <c:pt idx="294">
                  <c:v>2202.4745884101035</c:v>
                </c:pt>
                <c:pt idx="295">
                  <c:v>2202.7008291233278</c:v>
                </c:pt>
                <c:pt idx="296">
                  <c:v>2202.9270698365522</c:v>
                </c:pt>
                <c:pt idx="297">
                  <c:v>2203.1533105497765</c:v>
                </c:pt>
                <c:pt idx="298">
                  <c:v>2203.3795512630013</c:v>
                </c:pt>
                <c:pt idx="299">
                  <c:v>2203.6057919762256</c:v>
                </c:pt>
                <c:pt idx="300">
                  <c:v>2203.83203268945</c:v>
                </c:pt>
                <c:pt idx="301">
                  <c:v>2204.0582734026743</c:v>
                </c:pt>
                <c:pt idx="302">
                  <c:v>2204.2845141158987</c:v>
                </c:pt>
                <c:pt idx="303">
                  <c:v>2204.510754829123</c:v>
                </c:pt>
                <c:pt idx="304">
                  <c:v>2204.7369955423474</c:v>
                </c:pt>
                <c:pt idx="305">
                  <c:v>2204.9632362555717</c:v>
                </c:pt>
                <c:pt idx="306">
                  <c:v>2205.189476968796</c:v>
                </c:pt>
                <c:pt idx="307">
                  <c:v>2205.4157176820204</c:v>
                </c:pt>
                <c:pt idx="308">
                  <c:v>2205.6419583952447</c:v>
                </c:pt>
                <c:pt idx="309">
                  <c:v>2205.8681991084691</c:v>
                </c:pt>
                <c:pt idx="310">
                  <c:v>2206.0944398216934</c:v>
                </c:pt>
                <c:pt idx="311">
                  <c:v>2206.3206805349178</c:v>
                </c:pt>
                <c:pt idx="312">
                  <c:v>2206.5469212481421</c:v>
                </c:pt>
                <c:pt idx="313">
                  <c:v>2206.7731619613664</c:v>
                </c:pt>
                <c:pt idx="314">
                  <c:v>2206.9994026745908</c:v>
                </c:pt>
                <c:pt idx="315">
                  <c:v>2207.2256433878151</c:v>
                </c:pt>
                <c:pt idx="316">
                  <c:v>2207.4518841010395</c:v>
                </c:pt>
                <c:pt idx="317">
                  <c:v>2207.6781248142638</c:v>
                </c:pt>
                <c:pt idx="318">
                  <c:v>2207.9043655274886</c:v>
                </c:pt>
                <c:pt idx="319">
                  <c:v>2208.130606240713</c:v>
                </c:pt>
                <c:pt idx="320">
                  <c:v>2208.3568469539373</c:v>
                </c:pt>
                <c:pt idx="321">
                  <c:v>2208.5830876671616</c:v>
                </c:pt>
                <c:pt idx="322">
                  <c:v>2208.809328380386</c:v>
                </c:pt>
                <c:pt idx="323">
                  <c:v>2209.0355690936103</c:v>
                </c:pt>
                <c:pt idx="324">
                  <c:v>2209.2618098068347</c:v>
                </c:pt>
                <c:pt idx="325">
                  <c:v>2209.488050520059</c:v>
                </c:pt>
                <c:pt idx="326">
                  <c:v>2209.7142912332833</c:v>
                </c:pt>
                <c:pt idx="327">
                  <c:v>2209.9405319465077</c:v>
                </c:pt>
                <c:pt idx="328">
                  <c:v>2210.166772659732</c:v>
                </c:pt>
                <c:pt idx="329">
                  <c:v>2210.3930133729564</c:v>
                </c:pt>
                <c:pt idx="330">
                  <c:v>2210.6192540861807</c:v>
                </c:pt>
                <c:pt idx="331">
                  <c:v>2210.8454947994051</c:v>
                </c:pt>
                <c:pt idx="332">
                  <c:v>2211.0717355126294</c:v>
                </c:pt>
                <c:pt idx="333">
                  <c:v>2211.2979762258537</c:v>
                </c:pt>
                <c:pt idx="334">
                  <c:v>2211.5242169390781</c:v>
                </c:pt>
                <c:pt idx="335">
                  <c:v>2211.7504576523024</c:v>
                </c:pt>
                <c:pt idx="336">
                  <c:v>2211.9766983655268</c:v>
                </c:pt>
                <c:pt idx="337">
                  <c:v>2212.2029390787511</c:v>
                </c:pt>
                <c:pt idx="338">
                  <c:v>2212.4291797919759</c:v>
                </c:pt>
                <c:pt idx="339">
                  <c:v>2212.6554205052003</c:v>
                </c:pt>
                <c:pt idx="340">
                  <c:v>2212.8816612184246</c:v>
                </c:pt>
                <c:pt idx="341">
                  <c:v>2213.1079019316489</c:v>
                </c:pt>
                <c:pt idx="342">
                  <c:v>2213.3341426448733</c:v>
                </c:pt>
                <c:pt idx="343">
                  <c:v>2213.5603833580976</c:v>
                </c:pt>
                <c:pt idx="344">
                  <c:v>2213.9590569394963</c:v>
                </c:pt>
                <c:pt idx="345">
                  <c:v>2215.9096263345141</c:v>
                </c:pt>
                <c:pt idx="346">
                  <c:v>2217.8601957295318</c:v>
                </c:pt>
                <c:pt idx="347">
                  <c:v>2219.8107651245496</c:v>
                </c:pt>
                <c:pt idx="348">
                  <c:v>2221.7613345195673</c:v>
                </c:pt>
                <c:pt idx="349">
                  <c:v>2223.711903914585</c:v>
                </c:pt>
                <c:pt idx="350">
                  <c:v>2225.6624733096028</c:v>
                </c:pt>
                <c:pt idx="351">
                  <c:v>2227.6130427046205</c:v>
                </c:pt>
                <c:pt idx="352">
                  <c:v>2229.5636120996382</c:v>
                </c:pt>
                <c:pt idx="353">
                  <c:v>2231.514181494656</c:v>
                </c:pt>
                <c:pt idx="354">
                  <c:v>2233.4647508896737</c:v>
                </c:pt>
                <c:pt idx="355">
                  <c:v>2235.4153202846915</c:v>
                </c:pt>
                <c:pt idx="356">
                  <c:v>2237.3658896797092</c:v>
                </c:pt>
                <c:pt idx="357">
                  <c:v>2239.3164590747269</c:v>
                </c:pt>
                <c:pt idx="358">
                  <c:v>2241.2670284697447</c:v>
                </c:pt>
                <c:pt idx="359">
                  <c:v>2243.2175978647624</c:v>
                </c:pt>
                <c:pt idx="360">
                  <c:v>2245.1681672597801</c:v>
                </c:pt>
                <c:pt idx="361">
                  <c:v>2247.1187366547979</c:v>
                </c:pt>
                <c:pt idx="362">
                  <c:v>2249.0693060498156</c:v>
                </c:pt>
                <c:pt idx="363">
                  <c:v>2251.0198754448334</c:v>
                </c:pt>
                <c:pt idx="364">
                  <c:v>2252.9704448398511</c:v>
                </c:pt>
                <c:pt idx="365">
                  <c:v>2254.9210142348688</c:v>
                </c:pt>
                <c:pt idx="366">
                  <c:v>2256.8715836298866</c:v>
                </c:pt>
                <c:pt idx="367">
                  <c:v>2258.8221530249043</c:v>
                </c:pt>
                <c:pt idx="368">
                  <c:v>2260.772722419922</c:v>
                </c:pt>
                <c:pt idx="369">
                  <c:v>2262.7232918149398</c:v>
                </c:pt>
                <c:pt idx="370">
                  <c:v>2264.6738612099575</c:v>
                </c:pt>
                <c:pt idx="371">
                  <c:v>2266.6244306049753</c:v>
                </c:pt>
                <c:pt idx="372">
                  <c:v>2268.574999999993</c:v>
                </c:pt>
                <c:pt idx="373">
                  <c:v>2269.4161878453006</c:v>
                </c:pt>
                <c:pt idx="374">
                  <c:v>2270.2573756906045</c:v>
                </c:pt>
                <c:pt idx="375">
                  <c:v>2271.0985635359084</c:v>
                </c:pt>
                <c:pt idx="376">
                  <c:v>2271.9397513812123</c:v>
                </c:pt>
                <c:pt idx="377">
                  <c:v>2272.7809392265162</c:v>
                </c:pt>
                <c:pt idx="378">
                  <c:v>2273.6221270718202</c:v>
                </c:pt>
                <c:pt idx="379">
                  <c:v>2274.4633149171236</c:v>
                </c:pt>
                <c:pt idx="380">
                  <c:v>2275.3045027624275</c:v>
                </c:pt>
                <c:pt idx="381">
                  <c:v>2276.1456906077315</c:v>
                </c:pt>
                <c:pt idx="382">
                  <c:v>2276.9868784530354</c:v>
                </c:pt>
                <c:pt idx="383">
                  <c:v>2277.8280662983393</c:v>
                </c:pt>
                <c:pt idx="384">
                  <c:v>2278.6692541436432</c:v>
                </c:pt>
                <c:pt idx="385">
                  <c:v>2279.5104419889467</c:v>
                </c:pt>
                <c:pt idx="386">
                  <c:v>2280.3516298342506</c:v>
                </c:pt>
                <c:pt idx="387">
                  <c:v>2281.1928176795545</c:v>
                </c:pt>
                <c:pt idx="388">
                  <c:v>2282.0340055248585</c:v>
                </c:pt>
                <c:pt idx="389">
                  <c:v>2282.8751933701624</c:v>
                </c:pt>
                <c:pt idx="390">
                  <c:v>2283.7163812154663</c:v>
                </c:pt>
                <c:pt idx="391">
                  <c:v>2284.5575690607702</c:v>
                </c:pt>
                <c:pt idx="392">
                  <c:v>2285.3987569060737</c:v>
                </c:pt>
                <c:pt idx="393">
                  <c:v>2286.2399447513776</c:v>
                </c:pt>
                <c:pt idx="394">
                  <c:v>2287.0811325966815</c:v>
                </c:pt>
                <c:pt idx="395">
                  <c:v>2287.9223204419854</c:v>
                </c:pt>
                <c:pt idx="396">
                  <c:v>2288.7635082872894</c:v>
                </c:pt>
                <c:pt idx="397">
                  <c:v>2289.6046961325933</c:v>
                </c:pt>
                <c:pt idx="398">
                  <c:v>2290.4458839778968</c:v>
                </c:pt>
                <c:pt idx="399">
                  <c:v>2291.2870718232007</c:v>
                </c:pt>
                <c:pt idx="400">
                  <c:v>2292.1282596685046</c:v>
                </c:pt>
                <c:pt idx="401">
                  <c:v>2292.9694475138085</c:v>
                </c:pt>
                <c:pt idx="402">
                  <c:v>2293.8106353591124</c:v>
                </c:pt>
                <c:pt idx="403">
                  <c:v>2294.6518232044164</c:v>
                </c:pt>
                <c:pt idx="404">
                  <c:v>2295.4930110497203</c:v>
                </c:pt>
                <c:pt idx="405">
                  <c:v>2296.3341988950237</c:v>
                </c:pt>
                <c:pt idx="406">
                  <c:v>2297.1753867403277</c:v>
                </c:pt>
                <c:pt idx="407">
                  <c:v>2298.0165745856316</c:v>
                </c:pt>
                <c:pt idx="408">
                  <c:v>2298.8577624309355</c:v>
                </c:pt>
                <c:pt idx="409">
                  <c:v>2298.4742265005689</c:v>
                </c:pt>
                <c:pt idx="410">
                  <c:v>2297.7845096262768</c:v>
                </c:pt>
                <c:pt idx="411">
                  <c:v>2297.0947927519846</c:v>
                </c:pt>
                <c:pt idx="412">
                  <c:v>2296.4050758776925</c:v>
                </c:pt>
                <c:pt idx="413">
                  <c:v>2295.7153590034004</c:v>
                </c:pt>
                <c:pt idx="414">
                  <c:v>2295.0256421291083</c:v>
                </c:pt>
                <c:pt idx="415">
                  <c:v>2294.3359252548162</c:v>
                </c:pt>
                <c:pt idx="416">
                  <c:v>2293.6462083805236</c:v>
                </c:pt>
                <c:pt idx="417">
                  <c:v>2292.9564915062315</c:v>
                </c:pt>
                <c:pt idx="418">
                  <c:v>2292.2667746319394</c:v>
                </c:pt>
                <c:pt idx="419">
                  <c:v>2291.5770577576473</c:v>
                </c:pt>
                <c:pt idx="420">
                  <c:v>2290.8873408833551</c:v>
                </c:pt>
                <c:pt idx="421">
                  <c:v>2290.197624009063</c:v>
                </c:pt>
                <c:pt idx="422">
                  <c:v>2289.5079071347709</c:v>
                </c:pt>
                <c:pt idx="423">
                  <c:v>2288.8181902604788</c:v>
                </c:pt>
                <c:pt idx="424">
                  <c:v>2288.1284733861867</c:v>
                </c:pt>
                <c:pt idx="425">
                  <c:v>2287.4387565118941</c:v>
                </c:pt>
                <c:pt idx="426">
                  <c:v>2286.749039637602</c:v>
                </c:pt>
                <c:pt idx="427">
                  <c:v>2286.0593227633099</c:v>
                </c:pt>
                <c:pt idx="428">
                  <c:v>2285.3696058890177</c:v>
                </c:pt>
                <c:pt idx="429">
                  <c:v>2284.6798890147256</c:v>
                </c:pt>
                <c:pt idx="430">
                  <c:v>2283.9901721404335</c:v>
                </c:pt>
                <c:pt idx="431">
                  <c:v>2283.3004552661414</c:v>
                </c:pt>
                <c:pt idx="432">
                  <c:v>2282.6107383918493</c:v>
                </c:pt>
                <c:pt idx="433">
                  <c:v>2281.9210215175567</c:v>
                </c:pt>
                <c:pt idx="434">
                  <c:v>2281.2313046432646</c:v>
                </c:pt>
                <c:pt idx="435">
                  <c:v>2280.5415877689725</c:v>
                </c:pt>
                <c:pt idx="436">
                  <c:v>2279.8518708946804</c:v>
                </c:pt>
                <c:pt idx="437">
                  <c:v>2279.1621540203882</c:v>
                </c:pt>
                <c:pt idx="438">
                  <c:v>2278.4724371460961</c:v>
                </c:pt>
                <c:pt idx="439">
                  <c:v>2277.782720271804</c:v>
                </c:pt>
                <c:pt idx="440">
                  <c:v>2277.0930033975119</c:v>
                </c:pt>
                <c:pt idx="441">
                  <c:v>2276.4032865232193</c:v>
                </c:pt>
                <c:pt idx="442">
                  <c:v>2275.7135696489272</c:v>
                </c:pt>
                <c:pt idx="443">
                  <c:v>2275.0238527746351</c:v>
                </c:pt>
                <c:pt idx="444">
                  <c:v>2274.334135900343</c:v>
                </c:pt>
                <c:pt idx="445">
                  <c:v>2273.6444190260509</c:v>
                </c:pt>
                <c:pt idx="446">
                  <c:v>2272.9547021517587</c:v>
                </c:pt>
                <c:pt idx="447">
                  <c:v>2272.2649852774666</c:v>
                </c:pt>
                <c:pt idx="448">
                  <c:v>2271.5752684031745</c:v>
                </c:pt>
                <c:pt idx="449">
                  <c:v>2270.8855515288824</c:v>
                </c:pt>
                <c:pt idx="450">
                  <c:v>2270.1958346545898</c:v>
                </c:pt>
                <c:pt idx="451">
                  <c:v>2269.5061177802977</c:v>
                </c:pt>
                <c:pt idx="452">
                  <c:v>2268.8164009060056</c:v>
                </c:pt>
                <c:pt idx="453">
                  <c:v>2268.1266840317135</c:v>
                </c:pt>
                <c:pt idx="454">
                  <c:v>2267.4369671574213</c:v>
                </c:pt>
                <c:pt idx="455">
                  <c:v>2266.7472502831292</c:v>
                </c:pt>
                <c:pt idx="456">
                  <c:v>2266.0575334088371</c:v>
                </c:pt>
                <c:pt idx="457">
                  <c:v>2265.367816534545</c:v>
                </c:pt>
                <c:pt idx="458">
                  <c:v>2264.6780996602524</c:v>
                </c:pt>
                <c:pt idx="459">
                  <c:v>2263.9883827859603</c:v>
                </c:pt>
                <c:pt idx="460">
                  <c:v>2263.2986659116682</c:v>
                </c:pt>
                <c:pt idx="461">
                  <c:v>2262.6089490373761</c:v>
                </c:pt>
                <c:pt idx="462">
                  <c:v>2261.919232163084</c:v>
                </c:pt>
                <c:pt idx="463">
                  <c:v>2261.2295152887918</c:v>
                </c:pt>
                <c:pt idx="464">
                  <c:v>2260.5397984144997</c:v>
                </c:pt>
                <c:pt idx="465">
                  <c:v>2259.8500815402076</c:v>
                </c:pt>
                <c:pt idx="466">
                  <c:v>2259.160364665915</c:v>
                </c:pt>
                <c:pt idx="467">
                  <c:v>2258.4706477916229</c:v>
                </c:pt>
                <c:pt idx="468">
                  <c:v>2257.7809309173308</c:v>
                </c:pt>
                <c:pt idx="469">
                  <c:v>2257.0912140430387</c:v>
                </c:pt>
                <c:pt idx="470">
                  <c:v>2256.4014971687466</c:v>
                </c:pt>
                <c:pt idx="471">
                  <c:v>2255.7117802944545</c:v>
                </c:pt>
                <c:pt idx="472">
                  <c:v>2255.0220634201623</c:v>
                </c:pt>
                <c:pt idx="473">
                  <c:v>2254.3323465458702</c:v>
                </c:pt>
                <c:pt idx="474">
                  <c:v>2253.6426296715781</c:v>
                </c:pt>
                <c:pt idx="475">
                  <c:v>2252.9529127972855</c:v>
                </c:pt>
                <c:pt idx="476">
                  <c:v>2252.2631959229934</c:v>
                </c:pt>
                <c:pt idx="477">
                  <c:v>2251.5734790487013</c:v>
                </c:pt>
                <c:pt idx="478">
                  <c:v>2250.8837621744092</c:v>
                </c:pt>
                <c:pt idx="479">
                  <c:v>2250.1940453001171</c:v>
                </c:pt>
                <c:pt idx="480">
                  <c:v>2249.504328425825</c:v>
                </c:pt>
                <c:pt idx="481">
                  <c:v>2248.8146115515328</c:v>
                </c:pt>
                <c:pt idx="482">
                  <c:v>2248.1248946772407</c:v>
                </c:pt>
                <c:pt idx="483">
                  <c:v>2247.4351778029481</c:v>
                </c:pt>
                <c:pt idx="484">
                  <c:v>2246.745460928656</c:v>
                </c:pt>
                <c:pt idx="485">
                  <c:v>2246.0557440543639</c:v>
                </c:pt>
                <c:pt idx="486">
                  <c:v>2245.3660271800718</c:v>
                </c:pt>
                <c:pt idx="487">
                  <c:v>2244.6763103057797</c:v>
                </c:pt>
                <c:pt idx="488">
                  <c:v>2243.9865934314876</c:v>
                </c:pt>
                <c:pt idx="489">
                  <c:v>2243.2968765571954</c:v>
                </c:pt>
                <c:pt idx="490">
                  <c:v>2242.6071596829033</c:v>
                </c:pt>
                <c:pt idx="491">
                  <c:v>2241.9174428086108</c:v>
                </c:pt>
                <c:pt idx="492">
                  <c:v>2241.2277259343186</c:v>
                </c:pt>
                <c:pt idx="493">
                  <c:v>2240.5380090600265</c:v>
                </c:pt>
                <c:pt idx="494">
                  <c:v>2239.8482921857344</c:v>
                </c:pt>
                <c:pt idx="495">
                  <c:v>2239.1585753114423</c:v>
                </c:pt>
                <c:pt idx="496">
                  <c:v>2238.4688584371502</c:v>
                </c:pt>
                <c:pt idx="497">
                  <c:v>2237.4085300751967</c:v>
                </c:pt>
                <c:pt idx="498">
                  <c:v>2235.9775902255724</c:v>
                </c:pt>
                <c:pt idx="499">
                  <c:v>2234.5466503759485</c:v>
                </c:pt>
                <c:pt idx="500">
                  <c:v>2233.1157105263246</c:v>
                </c:pt>
                <c:pt idx="501">
                  <c:v>2231.6847706767003</c:v>
                </c:pt>
                <c:pt idx="502">
                  <c:v>2230.2538308270764</c:v>
                </c:pt>
                <c:pt idx="503">
                  <c:v>2228.8228909774525</c:v>
                </c:pt>
                <c:pt idx="504">
                  <c:v>2227.3919511278282</c:v>
                </c:pt>
                <c:pt idx="505">
                  <c:v>2225.9610112782043</c:v>
                </c:pt>
                <c:pt idx="506">
                  <c:v>2224.5300714285804</c:v>
                </c:pt>
                <c:pt idx="507">
                  <c:v>2223.0991315789565</c:v>
                </c:pt>
                <c:pt idx="508">
                  <c:v>2221.6681917293322</c:v>
                </c:pt>
                <c:pt idx="509">
                  <c:v>2220.2372518797083</c:v>
                </c:pt>
                <c:pt idx="510">
                  <c:v>2218.8063120300844</c:v>
                </c:pt>
                <c:pt idx="511">
                  <c:v>2217.3753721804601</c:v>
                </c:pt>
                <c:pt idx="512">
                  <c:v>2215.9444323308362</c:v>
                </c:pt>
                <c:pt idx="513">
                  <c:v>2214.5134924812123</c:v>
                </c:pt>
                <c:pt idx="514">
                  <c:v>2213.082552631588</c:v>
                </c:pt>
                <c:pt idx="515">
                  <c:v>2211.6516127819641</c:v>
                </c:pt>
                <c:pt idx="516">
                  <c:v>2210.2206729323402</c:v>
                </c:pt>
                <c:pt idx="517">
                  <c:v>2208.7897330827159</c:v>
                </c:pt>
                <c:pt idx="518">
                  <c:v>2207.358793233092</c:v>
                </c:pt>
                <c:pt idx="519">
                  <c:v>2205.9278533834681</c:v>
                </c:pt>
                <c:pt idx="520">
                  <c:v>2204.4969135338438</c:v>
                </c:pt>
                <c:pt idx="521">
                  <c:v>2203.0659736842199</c:v>
                </c:pt>
                <c:pt idx="522">
                  <c:v>2201.635033834596</c:v>
                </c:pt>
                <c:pt idx="523">
                  <c:v>2200.2040939849721</c:v>
                </c:pt>
                <c:pt idx="524">
                  <c:v>2198.7731541353478</c:v>
                </c:pt>
                <c:pt idx="525">
                  <c:v>2197.3422142857239</c:v>
                </c:pt>
                <c:pt idx="526">
                  <c:v>2195.9112744361</c:v>
                </c:pt>
                <c:pt idx="527">
                  <c:v>2194.4803345864757</c:v>
                </c:pt>
                <c:pt idx="528">
                  <c:v>2193.0493947368518</c:v>
                </c:pt>
                <c:pt idx="529">
                  <c:v>2191.6184548872279</c:v>
                </c:pt>
                <c:pt idx="530">
                  <c:v>2190.1875150376036</c:v>
                </c:pt>
                <c:pt idx="531">
                  <c:v>2188.7565751879797</c:v>
                </c:pt>
                <c:pt idx="532">
                  <c:v>2187.3256353383558</c:v>
                </c:pt>
                <c:pt idx="533">
                  <c:v>2185.8946954887315</c:v>
                </c:pt>
                <c:pt idx="534">
                  <c:v>2184.4637556391076</c:v>
                </c:pt>
                <c:pt idx="535">
                  <c:v>2183.0328157894837</c:v>
                </c:pt>
                <c:pt idx="536">
                  <c:v>2181.6018759398594</c:v>
                </c:pt>
                <c:pt idx="537">
                  <c:v>2180.1709360902355</c:v>
                </c:pt>
                <c:pt idx="538">
                  <c:v>2178.7399962406116</c:v>
                </c:pt>
                <c:pt idx="539">
                  <c:v>2177.3090563909877</c:v>
                </c:pt>
                <c:pt idx="540">
                  <c:v>2175.8781165413634</c:v>
                </c:pt>
                <c:pt idx="541">
                  <c:v>2174.4471766917395</c:v>
                </c:pt>
                <c:pt idx="542">
                  <c:v>2173.0162368421156</c:v>
                </c:pt>
                <c:pt idx="543">
                  <c:v>2171.5852969924913</c:v>
                </c:pt>
                <c:pt idx="544">
                  <c:v>2170.1543571428674</c:v>
                </c:pt>
                <c:pt idx="545">
                  <c:v>2168.7234172932435</c:v>
                </c:pt>
                <c:pt idx="546">
                  <c:v>2167.2924774436192</c:v>
                </c:pt>
                <c:pt idx="547">
                  <c:v>2165.8615375939953</c:v>
                </c:pt>
                <c:pt idx="548">
                  <c:v>2164.4305977443714</c:v>
                </c:pt>
                <c:pt idx="549">
                  <c:v>2162.9996578947471</c:v>
                </c:pt>
                <c:pt idx="550">
                  <c:v>2161.3273898858238</c:v>
                </c:pt>
                <c:pt idx="551">
                  <c:v>2159.0920228385157</c:v>
                </c:pt>
                <c:pt idx="552">
                  <c:v>2156.8566557912072</c:v>
                </c:pt>
                <c:pt idx="553">
                  <c:v>2154.6212887438992</c:v>
                </c:pt>
                <c:pt idx="554">
                  <c:v>2152.3859216965907</c:v>
                </c:pt>
                <c:pt idx="555">
                  <c:v>2150.1505546492826</c:v>
                </c:pt>
                <c:pt idx="556">
                  <c:v>2147.9151876019741</c:v>
                </c:pt>
                <c:pt idx="557">
                  <c:v>2145.6798205546661</c:v>
                </c:pt>
                <c:pt idx="558">
                  <c:v>2143.4444535073576</c:v>
                </c:pt>
                <c:pt idx="559">
                  <c:v>2141.2090864600495</c:v>
                </c:pt>
                <c:pt idx="560">
                  <c:v>2138.973719412741</c:v>
                </c:pt>
                <c:pt idx="561">
                  <c:v>2136.738352365433</c:v>
                </c:pt>
                <c:pt idx="562">
                  <c:v>2134.5029853181245</c:v>
                </c:pt>
                <c:pt idx="563">
                  <c:v>2132.2676182708165</c:v>
                </c:pt>
                <c:pt idx="564">
                  <c:v>2130.032251223508</c:v>
                </c:pt>
                <c:pt idx="565">
                  <c:v>2127.7968841761999</c:v>
                </c:pt>
                <c:pt idx="566">
                  <c:v>2125.5615171288914</c:v>
                </c:pt>
                <c:pt idx="567">
                  <c:v>2123.3261500815834</c:v>
                </c:pt>
                <c:pt idx="568">
                  <c:v>2121.0907830342749</c:v>
                </c:pt>
                <c:pt idx="569">
                  <c:v>2118.8554159869668</c:v>
                </c:pt>
                <c:pt idx="570">
                  <c:v>2116.6200489396583</c:v>
                </c:pt>
                <c:pt idx="571">
                  <c:v>2114.3846818923503</c:v>
                </c:pt>
                <c:pt idx="572">
                  <c:v>2112.1493148450418</c:v>
                </c:pt>
                <c:pt idx="573">
                  <c:v>2109.9139477977337</c:v>
                </c:pt>
                <c:pt idx="574">
                  <c:v>2107.6785807504252</c:v>
                </c:pt>
                <c:pt idx="575">
                  <c:v>2105.4432137031172</c:v>
                </c:pt>
                <c:pt idx="576">
                  <c:v>2103.2078466558087</c:v>
                </c:pt>
                <c:pt idx="577">
                  <c:v>2100.9724796085006</c:v>
                </c:pt>
                <c:pt idx="578">
                  <c:v>2098.7371125611921</c:v>
                </c:pt>
                <c:pt idx="579">
                  <c:v>2096.5017455138841</c:v>
                </c:pt>
                <c:pt idx="580">
                  <c:v>2094.2663784665756</c:v>
                </c:pt>
                <c:pt idx="581">
                  <c:v>2092.0310114192675</c:v>
                </c:pt>
                <c:pt idx="582">
                  <c:v>2089.795644371959</c:v>
                </c:pt>
                <c:pt idx="583">
                  <c:v>2087.560277324651</c:v>
                </c:pt>
                <c:pt idx="584">
                  <c:v>2085.3249102773425</c:v>
                </c:pt>
                <c:pt idx="585">
                  <c:v>2083.0895432300345</c:v>
                </c:pt>
                <c:pt idx="586">
                  <c:v>2080.854176182726</c:v>
                </c:pt>
                <c:pt idx="587">
                  <c:v>2078.6188091354179</c:v>
                </c:pt>
                <c:pt idx="588">
                  <c:v>2076.3834420881094</c:v>
                </c:pt>
                <c:pt idx="589">
                  <c:v>2074.1480750408014</c:v>
                </c:pt>
                <c:pt idx="590">
                  <c:v>2071.9127079934929</c:v>
                </c:pt>
                <c:pt idx="591">
                  <c:v>2069.6773409461848</c:v>
                </c:pt>
                <c:pt idx="592">
                  <c:v>2067.4419738988763</c:v>
                </c:pt>
                <c:pt idx="593">
                  <c:v>2065.2066068515683</c:v>
                </c:pt>
                <c:pt idx="594">
                  <c:v>2062.9712398042598</c:v>
                </c:pt>
                <c:pt idx="595">
                  <c:v>2060.7358727569517</c:v>
                </c:pt>
                <c:pt idx="596">
                  <c:v>2058.5005057096432</c:v>
                </c:pt>
                <c:pt idx="597">
                  <c:v>2056.2651386623352</c:v>
                </c:pt>
                <c:pt idx="598">
                  <c:v>2054.0297716150267</c:v>
                </c:pt>
                <c:pt idx="599">
                  <c:v>2051.7944045677186</c:v>
                </c:pt>
                <c:pt idx="600">
                  <c:v>2049.5590375204101</c:v>
                </c:pt>
                <c:pt idx="601">
                  <c:v>2047.3236704731021</c:v>
                </c:pt>
                <c:pt idx="602">
                  <c:v>2045.0883034257938</c:v>
                </c:pt>
                <c:pt idx="603">
                  <c:v>2042.8529363784855</c:v>
                </c:pt>
                <c:pt idx="604">
                  <c:v>2040.6175693311773</c:v>
                </c:pt>
                <c:pt idx="605">
                  <c:v>2038.382202283869</c:v>
                </c:pt>
                <c:pt idx="606">
                  <c:v>2036.1468352365607</c:v>
                </c:pt>
                <c:pt idx="607">
                  <c:v>2033.9114681892524</c:v>
                </c:pt>
                <c:pt idx="608">
                  <c:v>2031.6761011419442</c:v>
                </c:pt>
                <c:pt idx="609">
                  <c:v>2029.4407340946359</c:v>
                </c:pt>
                <c:pt idx="610">
                  <c:v>2027.2053670473276</c:v>
                </c:pt>
                <c:pt idx="611">
                  <c:v>2024.9700000000194</c:v>
                </c:pt>
                <c:pt idx="612">
                  <c:v>2020.6836656891867</c:v>
                </c:pt>
                <c:pt idx="613">
                  <c:v>2016.3973313783363</c:v>
                </c:pt>
                <c:pt idx="614">
                  <c:v>2012.1109970674859</c:v>
                </c:pt>
                <c:pt idx="615">
                  <c:v>2007.8246627566355</c:v>
                </c:pt>
                <c:pt idx="616">
                  <c:v>2003.5383284457853</c:v>
                </c:pt>
                <c:pt idx="617">
                  <c:v>1999.2519941349349</c:v>
                </c:pt>
                <c:pt idx="618">
                  <c:v>1994.9656598240845</c:v>
                </c:pt>
                <c:pt idx="619">
                  <c:v>1990.6793255132341</c:v>
                </c:pt>
                <c:pt idx="620">
                  <c:v>1986.3929912023837</c:v>
                </c:pt>
                <c:pt idx="621">
                  <c:v>1982.1066568915335</c:v>
                </c:pt>
                <c:pt idx="622">
                  <c:v>1977.8203225806831</c:v>
                </c:pt>
                <c:pt idx="623">
                  <c:v>1973.5339882698327</c:v>
                </c:pt>
                <c:pt idx="624">
                  <c:v>1969.2476539589823</c:v>
                </c:pt>
                <c:pt idx="625">
                  <c:v>1964.9613196481318</c:v>
                </c:pt>
                <c:pt idx="626">
                  <c:v>1960.6749853372817</c:v>
                </c:pt>
                <c:pt idx="627">
                  <c:v>1956.3886510264313</c:v>
                </c:pt>
                <c:pt idx="628">
                  <c:v>1952.1023167155809</c:v>
                </c:pt>
                <c:pt idx="629">
                  <c:v>1947.8159824047304</c:v>
                </c:pt>
                <c:pt idx="630">
                  <c:v>1943.5296480938803</c:v>
                </c:pt>
                <c:pt idx="631">
                  <c:v>1939.2433137830299</c:v>
                </c:pt>
                <c:pt idx="632">
                  <c:v>1934.9569794721795</c:v>
                </c:pt>
                <c:pt idx="633">
                  <c:v>1930.670645161329</c:v>
                </c:pt>
                <c:pt idx="634">
                  <c:v>1926.3843108504786</c:v>
                </c:pt>
                <c:pt idx="635">
                  <c:v>1922.0979765396285</c:v>
                </c:pt>
                <c:pt idx="636">
                  <c:v>1917.8116422287781</c:v>
                </c:pt>
                <c:pt idx="637">
                  <c:v>1913.5253079179276</c:v>
                </c:pt>
                <c:pt idx="638">
                  <c:v>1909.2389736070772</c:v>
                </c:pt>
                <c:pt idx="639">
                  <c:v>1904.9526392962271</c:v>
                </c:pt>
                <c:pt idx="640">
                  <c:v>1900.6663049853767</c:v>
                </c:pt>
                <c:pt idx="641">
                  <c:v>1896.3799706745262</c:v>
                </c:pt>
                <c:pt idx="642">
                  <c:v>1892.0936363636758</c:v>
                </c:pt>
                <c:pt idx="643">
                  <c:v>1887.8073020528254</c:v>
                </c:pt>
                <c:pt idx="644">
                  <c:v>1883.5209677419753</c:v>
                </c:pt>
                <c:pt idx="645">
                  <c:v>1879.2346334311248</c:v>
                </c:pt>
                <c:pt idx="646">
                  <c:v>1869.3981343284554</c:v>
                </c:pt>
                <c:pt idx="647">
                  <c:v>1858.9449502488537</c:v>
                </c:pt>
                <c:pt idx="648">
                  <c:v>1848.4917661692518</c:v>
                </c:pt>
                <c:pt idx="649">
                  <c:v>1838.0385820896502</c:v>
                </c:pt>
                <c:pt idx="650">
                  <c:v>1827.5853980100485</c:v>
                </c:pt>
                <c:pt idx="651">
                  <c:v>1817.1322139304466</c:v>
                </c:pt>
                <c:pt idx="652">
                  <c:v>1806.6790298508449</c:v>
                </c:pt>
                <c:pt idx="653">
                  <c:v>1796.2258457712433</c:v>
                </c:pt>
                <c:pt idx="654">
                  <c:v>1785.7726616916414</c:v>
                </c:pt>
                <c:pt idx="655">
                  <c:v>1775.3194776120397</c:v>
                </c:pt>
                <c:pt idx="656">
                  <c:v>1764.8662935324378</c:v>
                </c:pt>
                <c:pt idx="657">
                  <c:v>1754.4131094528361</c:v>
                </c:pt>
                <c:pt idx="658">
                  <c:v>1743.9599253732345</c:v>
                </c:pt>
                <c:pt idx="659">
                  <c:v>1733.5067412936326</c:v>
                </c:pt>
                <c:pt idx="660">
                  <c:v>1723.0535572140309</c:v>
                </c:pt>
                <c:pt idx="661">
                  <c:v>1712.6003731344292</c:v>
                </c:pt>
                <c:pt idx="662">
                  <c:v>1702.1471890548273</c:v>
                </c:pt>
                <c:pt idx="663">
                  <c:v>1691.6940049752257</c:v>
                </c:pt>
                <c:pt idx="664">
                  <c:v>1681.240820895624</c:v>
                </c:pt>
                <c:pt idx="665">
                  <c:v>1670.7876368160221</c:v>
                </c:pt>
                <c:pt idx="666">
                  <c:v>1648.7293372367776</c:v>
                </c:pt>
                <c:pt idx="667">
                  <c:v>1623.7697587824457</c:v>
                </c:pt>
                <c:pt idx="668">
                  <c:v>1598.8101803281136</c:v>
                </c:pt>
                <c:pt idx="669">
                  <c:v>1573.8506018737814</c:v>
                </c:pt>
                <c:pt idx="670">
                  <c:v>1548.8910234194495</c:v>
                </c:pt>
                <c:pt idx="671">
                  <c:v>1523.9314449651174</c:v>
                </c:pt>
                <c:pt idx="672">
                  <c:v>1498.9718665107855</c:v>
                </c:pt>
                <c:pt idx="673">
                  <c:v>1474.0122880564534</c:v>
                </c:pt>
                <c:pt idx="674">
                  <c:v>1449.0527096021215</c:v>
                </c:pt>
                <c:pt idx="675">
                  <c:v>1424.0931311477893</c:v>
                </c:pt>
                <c:pt idx="676">
                  <c:v>1399.1335526934572</c:v>
                </c:pt>
                <c:pt idx="677">
                  <c:v>1374.1739742391253</c:v>
                </c:pt>
                <c:pt idx="678">
                  <c:v>1349.2143957847932</c:v>
                </c:pt>
                <c:pt idx="679">
                  <c:v>1324.2548173304613</c:v>
                </c:pt>
                <c:pt idx="680">
                  <c:v>1299.2952388761291</c:v>
                </c:pt>
                <c:pt idx="681">
                  <c:v>1274.335660421797</c:v>
                </c:pt>
                <c:pt idx="682">
                  <c:v>1249.3760819674651</c:v>
                </c:pt>
                <c:pt idx="683">
                  <c:v>1224.416503513133</c:v>
                </c:pt>
                <c:pt idx="684">
                  <c:v>1199.4569250588011</c:v>
                </c:pt>
                <c:pt idx="685">
                  <c:v>1174.4973466044689</c:v>
                </c:pt>
                <c:pt idx="686">
                  <c:v>1149.5377681501368</c:v>
                </c:pt>
                <c:pt idx="687">
                  <c:v>1124.5781896958047</c:v>
                </c:pt>
                <c:pt idx="688">
                  <c:v>1099.6186112414728</c:v>
                </c:pt>
                <c:pt idx="689">
                  <c:v>1074.6590327871409</c:v>
                </c:pt>
                <c:pt idx="690">
                  <c:v>1049.6994543328087</c:v>
                </c:pt>
                <c:pt idx="691">
                  <c:v>1024.7398758784766</c:v>
                </c:pt>
                <c:pt idx="692">
                  <c:v>999.78029742414458</c:v>
                </c:pt>
                <c:pt idx="693">
                  <c:v>974.82071896981256</c:v>
                </c:pt>
                <c:pt idx="694">
                  <c:v>949.86114051548054</c:v>
                </c:pt>
                <c:pt idx="695">
                  <c:v>924.90156206114852</c:v>
                </c:pt>
                <c:pt idx="696">
                  <c:v>899.94198360681651</c:v>
                </c:pt>
                <c:pt idx="697">
                  <c:v>874.98240515248438</c:v>
                </c:pt>
                <c:pt idx="698">
                  <c:v>850.02282669815236</c:v>
                </c:pt>
                <c:pt idx="699">
                  <c:v>825.06324824382034</c:v>
                </c:pt>
                <c:pt idx="700">
                  <c:v>800.10366978948832</c:v>
                </c:pt>
                <c:pt idx="701">
                  <c:v>775.1440913351563</c:v>
                </c:pt>
                <c:pt idx="702">
                  <c:v>750.18451288082417</c:v>
                </c:pt>
                <c:pt idx="703">
                  <c:v>725.22493442649215</c:v>
                </c:pt>
                <c:pt idx="704">
                  <c:v>700.26535597216014</c:v>
                </c:pt>
                <c:pt idx="705">
                  <c:v>675.30577751782812</c:v>
                </c:pt>
                <c:pt idx="706">
                  <c:v>650.3461990634961</c:v>
                </c:pt>
                <c:pt idx="707">
                  <c:v>625.38662060916408</c:v>
                </c:pt>
                <c:pt idx="708">
                  <c:v>600.11784848514651</c:v>
                </c:pt>
                <c:pt idx="709">
                  <c:v>572.06633333363197</c:v>
                </c:pt>
                <c:pt idx="710">
                  <c:v>544.01481818211744</c:v>
                </c:pt>
                <c:pt idx="711">
                  <c:v>515.9633030306029</c:v>
                </c:pt>
                <c:pt idx="712">
                  <c:v>487.91178787908837</c:v>
                </c:pt>
                <c:pt idx="713">
                  <c:v>459.86027272757383</c:v>
                </c:pt>
                <c:pt idx="714">
                  <c:v>431.80875757605924</c:v>
                </c:pt>
                <c:pt idx="715">
                  <c:v>403.7572424245447</c:v>
                </c:pt>
                <c:pt idx="716">
                  <c:v>375.70572727303011</c:v>
                </c:pt>
                <c:pt idx="717">
                  <c:v>347.65421212151557</c:v>
                </c:pt>
                <c:pt idx="718">
                  <c:v>319.60269697000103</c:v>
                </c:pt>
                <c:pt idx="719">
                  <c:v>291.5511818184865</c:v>
                </c:pt>
                <c:pt idx="720">
                  <c:v>263.49966666697196</c:v>
                </c:pt>
                <c:pt idx="721">
                  <c:v>235.44815151545743</c:v>
                </c:pt>
                <c:pt idx="722">
                  <c:v>207.39663636394283</c:v>
                </c:pt>
                <c:pt idx="723">
                  <c:v>179.3451212124283</c:v>
                </c:pt>
                <c:pt idx="724">
                  <c:v>151.29360606091376</c:v>
                </c:pt>
                <c:pt idx="725">
                  <c:v>84.043800001025147</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Calculs!$T$4:$T$1004</c:f>
              <c:numCache>
                <c:formatCode>0.00</c:formatCode>
                <c:ptCount val="1001"/>
                <c:pt idx="0">
                  <c:v>232.23212999999998</c:v>
                </c:pt>
                <c:pt idx="1">
                  <c:v>232.22193525561261</c:v>
                </c:pt>
                <c:pt idx="2">
                  <c:v>232.1913510224505</c:v>
                </c:pt>
                <c:pt idx="3">
                  <c:v>232.14037730051371</c:v>
                </c:pt>
                <c:pt idx="4">
                  <c:v>232.06901408980215</c:v>
                </c:pt>
                <c:pt idx="5">
                  <c:v>231.98512077381338</c:v>
                </c:pt>
                <c:pt idx="6">
                  <c:v>231.89655673604489</c:v>
                </c:pt>
                <c:pt idx="7">
                  <c:v>231.80332197649668</c:v>
                </c:pt>
                <c:pt idx="8">
                  <c:v>231.70541649516875</c:v>
                </c:pt>
                <c:pt idx="9">
                  <c:v>231.60497522420289</c:v>
                </c:pt>
                <c:pt idx="10">
                  <c:v>231.50413309574091</c:v>
                </c:pt>
                <c:pt idx="11">
                  <c:v>231.40289010978285</c:v>
                </c:pt>
                <c:pt idx="12">
                  <c:v>231.30124626632863</c:v>
                </c:pt>
                <c:pt idx="13">
                  <c:v>231.1992015653783</c:v>
                </c:pt>
                <c:pt idx="14">
                  <c:v>231.09675600693186</c:v>
                </c:pt>
                <c:pt idx="15">
                  <c:v>230.99390959098932</c:v>
                </c:pt>
                <c:pt idx="16">
                  <c:v>230.89066231755066</c:v>
                </c:pt>
                <c:pt idx="17">
                  <c:v>230.78701418661589</c:v>
                </c:pt>
                <c:pt idx="18">
                  <c:v>230.68296519818497</c:v>
                </c:pt>
                <c:pt idx="19">
                  <c:v>230.57851535225797</c:v>
                </c:pt>
                <c:pt idx="20">
                  <c:v>230.47366464883484</c:v>
                </c:pt>
                <c:pt idx="21">
                  <c:v>230.36856174706529</c:v>
                </c:pt>
                <c:pt idx="22">
                  <c:v>230.26342963567384</c:v>
                </c:pt>
                <c:pt idx="23">
                  <c:v>230.15826831466052</c:v>
                </c:pt>
                <c:pt idx="24">
                  <c:v>230.05307778402531</c:v>
                </c:pt>
                <c:pt idx="25">
                  <c:v>229.94785804376821</c:v>
                </c:pt>
                <c:pt idx="26">
                  <c:v>229.84260909388925</c:v>
                </c:pt>
                <c:pt idx="27">
                  <c:v>229.73733093438841</c:v>
                </c:pt>
                <c:pt idx="28">
                  <c:v>229.63202356526568</c:v>
                </c:pt>
                <c:pt idx="29">
                  <c:v>229.5266869865211</c:v>
                </c:pt>
                <c:pt idx="30">
                  <c:v>229.42132119815463</c:v>
                </c:pt>
                <c:pt idx="31">
                  <c:v>229.31592620016625</c:v>
                </c:pt>
                <c:pt idx="32">
                  <c:v>229.21050199255598</c:v>
                </c:pt>
                <c:pt idx="33">
                  <c:v>229.10504857532382</c:v>
                </c:pt>
                <c:pt idx="34">
                  <c:v>228.99956594846981</c:v>
                </c:pt>
                <c:pt idx="35">
                  <c:v>228.89405411199391</c:v>
                </c:pt>
                <c:pt idx="36">
                  <c:v>228.78851306589613</c:v>
                </c:pt>
                <c:pt idx="37">
                  <c:v>228.68294281017648</c:v>
                </c:pt>
                <c:pt idx="38">
                  <c:v>228.57734334483496</c:v>
                </c:pt>
                <c:pt idx="39">
                  <c:v>228.47171466987155</c:v>
                </c:pt>
                <c:pt idx="40">
                  <c:v>228.36605678528625</c:v>
                </c:pt>
                <c:pt idx="41">
                  <c:v>228.26036969107906</c:v>
                </c:pt>
                <c:pt idx="42">
                  <c:v>228.15465338724997</c:v>
                </c:pt>
                <c:pt idx="43">
                  <c:v>228.04890787379904</c:v>
                </c:pt>
                <c:pt idx="44">
                  <c:v>227.9431331507262</c:v>
                </c:pt>
                <c:pt idx="45">
                  <c:v>227.83732921803147</c:v>
                </c:pt>
                <c:pt idx="46">
                  <c:v>227.73146344993825</c:v>
                </c:pt>
                <c:pt idx="47">
                  <c:v>227.62552769000234</c:v>
                </c:pt>
                <c:pt idx="48">
                  <c:v>227.51952193822376</c:v>
                </c:pt>
                <c:pt idx="49">
                  <c:v>227.4134461946025</c:v>
                </c:pt>
                <c:pt idx="50">
                  <c:v>227.30730045913853</c:v>
                </c:pt>
                <c:pt idx="51">
                  <c:v>227.20108473183191</c:v>
                </c:pt>
                <c:pt idx="52">
                  <c:v>227.09479901268259</c:v>
                </c:pt>
                <c:pt idx="53">
                  <c:v>226.98844330169061</c:v>
                </c:pt>
                <c:pt idx="54">
                  <c:v>226.88201759885592</c:v>
                </c:pt>
                <c:pt idx="55">
                  <c:v>226.77552190417856</c:v>
                </c:pt>
                <c:pt idx="56">
                  <c:v>226.66895621765852</c:v>
                </c:pt>
                <c:pt idx="57">
                  <c:v>226.5623205392958</c:v>
                </c:pt>
                <c:pt idx="58">
                  <c:v>226.4556148690904</c:v>
                </c:pt>
                <c:pt idx="59">
                  <c:v>226.34883920704232</c:v>
                </c:pt>
                <c:pt idx="60">
                  <c:v>226.24199355315153</c:v>
                </c:pt>
                <c:pt idx="61">
                  <c:v>226.13507790741809</c:v>
                </c:pt>
                <c:pt idx="62">
                  <c:v>226.02809226984195</c:v>
                </c:pt>
                <c:pt idx="63">
                  <c:v>225.92103664042315</c:v>
                </c:pt>
                <c:pt idx="64">
                  <c:v>225.81391101916168</c:v>
                </c:pt>
                <c:pt idx="65">
                  <c:v>225.70671540605753</c:v>
                </c:pt>
                <c:pt idx="66">
                  <c:v>225.59944980111064</c:v>
                </c:pt>
                <c:pt idx="67">
                  <c:v>225.49211420432113</c:v>
                </c:pt>
                <c:pt idx="68">
                  <c:v>225.38470861568891</c:v>
                </c:pt>
                <c:pt idx="69">
                  <c:v>225.27673187420768</c:v>
                </c:pt>
                <c:pt idx="70">
                  <c:v>225.16796919658898</c:v>
                </c:pt>
                <c:pt idx="71">
                  <c:v>225.05842058283287</c:v>
                </c:pt>
                <c:pt idx="72">
                  <c:v>224.9480860329393</c:v>
                </c:pt>
                <c:pt idx="73">
                  <c:v>224.83696554690829</c:v>
                </c:pt>
                <c:pt idx="74">
                  <c:v>224.72505912473986</c:v>
                </c:pt>
                <c:pt idx="75">
                  <c:v>224.61236676643398</c:v>
                </c:pt>
                <c:pt idx="76">
                  <c:v>224.49888847199063</c:v>
                </c:pt>
                <c:pt idx="77">
                  <c:v>224.38554502503425</c:v>
                </c:pt>
                <c:pt idx="78">
                  <c:v>224.27273104711816</c:v>
                </c:pt>
                <c:pt idx="79">
                  <c:v>224.16044653824238</c:v>
                </c:pt>
                <c:pt idx="80">
                  <c:v>224.04869149840687</c:v>
                </c:pt>
                <c:pt idx="81">
                  <c:v>223.93746592761167</c:v>
                </c:pt>
                <c:pt idx="82">
                  <c:v>223.82676982585673</c:v>
                </c:pt>
                <c:pt idx="83">
                  <c:v>223.71660319314211</c:v>
                </c:pt>
                <c:pt idx="84">
                  <c:v>223.60696602946774</c:v>
                </c:pt>
                <c:pt idx="85">
                  <c:v>223.49785833483369</c:v>
                </c:pt>
                <c:pt idx="86">
                  <c:v>223.38915570262259</c:v>
                </c:pt>
                <c:pt idx="87">
                  <c:v>223.28036050636493</c:v>
                </c:pt>
                <c:pt idx="88">
                  <c:v>223.17147274606077</c:v>
                </c:pt>
                <c:pt idx="89">
                  <c:v>223.06249242171006</c:v>
                </c:pt>
                <c:pt idx="90">
                  <c:v>222.95341953331285</c:v>
                </c:pt>
                <c:pt idx="91">
                  <c:v>222.84425408086906</c:v>
                </c:pt>
                <c:pt idx="92">
                  <c:v>222.73499606437881</c:v>
                </c:pt>
                <c:pt idx="93">
                  <c:v>222.62564548384196</c:v>
                </c:pt>
                <c:pt idx="94">
                  <c:v>222.51620233925863</c:v>
                </c:pt>
                <c:pt idx="95">
                  <c:v>222.40666663062879</c:v>
                </c:pt>
                <c:pt idx="96">
                  <c:v>222.29703835795237</c:v>
                </c:pt>
                <c:pt idx="97">
                  <c:v>222.18731752122946</c:v>
                </c:pt>
                <c:pt idx="98">
                  <c:v>222.07750412046002</c:v>
                </c:pt>
                <c:pt idx="99">
                  <c:v>221.96759815564403</c:v>
                </c:pt>
                <c:pt idx="100">
                  <c:v>221.85759962678154</c:v>
                </c:pt>
                <c:pt idx="101">
                  <c:v>221.74750853387249</c:v>
                </c:pt>
                <c:pt idx="102">
                  <c:v>221.63732487691692</c:v>
                </c:pt>
                <c:pt idx="103">
                  <c:v>221.52704865591483</c:v>
                </c:pt>
                <c:pt idx="104">
                  <c:v>221.4166798708662</c:v>
                </c:pt>
                <c:pt idx="105">
                  <c:v>221.30621852177106</c:v>
                </c:pt>
                <c:pt idx="106">
                  <c:v>221.19566460862939</c:v>
                </c:pt>
                <c:pt idx="107">
                  <c:v>221.08501813144119</c:v>
                </c:pt>
                <c:pt idx="108">
                  <c:v>220.97427909020647</c:v>
                </c:pt>
                <c:pt idx="109">
                  <c:v>220.86344748492519</c:v>
                </c:pt>
                <c:pt idx="110">
                  <c:v>220.75252331559741</c:v>
                </c:pt>
                <c:pt idx="111">
                  <c:v>220.64150658222309</c:v>
                </c:pt>
                <c:pt idx="112">
                  <c:v>220.53039728480226</c:v>
                </c:pt>
                <c:pt idx="113">
                  <c:v>220.41919542333486</c:v>
                </c:pt>
                <c:pt idx="114">
                  <c:v>220.30790099782098</c:v>
                </c:pt>
                <c:pt idx="115">
                  <c:v>220.19651400826052</c:v>
                </c:pt>
                <c:pt idx="116">
                  <c:v>220.08503445465357</c:v>
                </c:pt>
                <c:pt idx="117">
                  <c:v>219.97346233700011</c:v>
                </c:pt>
                <c:pt idx="118">
                  <c:v>219.86179765530008</c:v>
                </c:pt>
                <c:pt idx="119">
                  <c:v>219.75004040955355</c:v>
                </c:pt>
                <c:pt idx="120">
                  <c:v>219.63819059976049</c:v>
                </c:pt>
                <c:pt idx="121">
                  <c:v>219.52624822592091</c:v>
                </c:pt>
                <c:pt idx="122">
                  <c:v>219.41421328803477</c:v>
                </c:pt>
                <c:pt idx="123">
                  <c:v>219.30208578610211</c:v>
                </c:pt>
                <c:pt idx="124">
                  <c:v>219.18986572012292</c:v>
                </c:pt>
                <c:pt idx="125">
                  <c:v>219.07755309009721</c:v>
                </c:pt>
                <c:pt idx="126">
                  <c:v>218.965147896025</c:v>
                </c:pt>
                <c:pt idx="127">
                  <c:v>218.85265013790624</c:v>
                </c:pt>
                <c:pt idx="128">
                  <c:v>218.74005981574098</c:v>
                </c:pt>
                <c:pt idx="129">
                  <c:v>218.62737692952913</c:v>
                </c:pt>
                <c:pt idx="130">
                  <c:v>218.51460147927079</c:v>
                </c:pt>
                <c:pt idx="131">
                  <c:v>218.40173346496593</c:v>
                </c:pt>
                <c:pt idx="132">
                  <c:v>218.28877288661454</c:v>
                </c:pt>
                <c:pt idx="133">
                  <c:v>218.17571974421659</c:v>
                </c:pt>
                <c:pt idx="134">
                  <c:v>218.06257403777212</c:v>
                </c:pt>
                <c:pt idx="135">
                  <c:v>217.94933576728113</c:v>
                </c:pt>
                <c:pt idx="136">
                  <c:v>217.83600493274363</c:v>
                </c:pt>
                <c:pt idx="137">
                  <c:v>217.72258153415959</c:v>
                </c:pt>
                <c:pt idx="138">
                  <c:v>217.60906557152902</c:v>
                </c:pt>
                <c:pt idx="139">
                  <c:v>217.49545704485195</c:v>
                </c:pt>
                <c:pt idx="140">
                  <c:v>217.38175595412829</c:v>
                </c:pt>
                <c:pt idx="141">
                  <c:v>217.26796229935817</c:v>
                </c:pt>
                <c:pt idx="142">
                  <c:v>217.15407608054147</c:v>
                </c:pt>
                <c:pt idx="143">
                  <c:v>217.04009729767827</c:v>
                </c:pt>
                <c:pt idx="144">
                  <c:v>216.92602595076852</c:v>
                </c:pt>
                <c:pt idx="145">
                  <c:v>216.81186203981227</c:v>
                </c:pt>
                <c:pt idx="146">
                  <c:v>216.69760556480944</c:v>
                </c:pt>
                <c:pt idx="147">
                  <c:v>216.58325652576013</c:v>
                </c:pt>
                <c:pt idx="148">
                  <c:v>216.46881492266428</c:v>
                </c:pt>
                <c:pt idx="149">
                  <c:v>216.3542807555219</c:v>
                </c:pt>
                <c:pt idx="150">
                  <c:v>216.23965402433302</c:v>
                </c:pt>
                <c:pt idx="151">
                  <c:v>216.12493472909759</c:v>
                </c:pt>
                <c:pt idx="152">
                  <c:v>216.01012286981563</c:v>
                </c:pt>
                <c:pt idx="153">
                  <c:v>215.89521844648712</c:v>
                </c:pt>
                <c:pt idx="154">
                  <c:v>215.78022145911211</c:v>
                </c:pt>
                <c:pt idx="155">
                  <c:v>215.66513190769055</c:v>
                </c:pt>
                <c:pt idx="156">
                  <c:v>215.54994979222249</c:v>
                </c:pt>
                <c:pt idx="157">
                  <c:v>215.43467511270791</c:v>
                </c:pt>
                <c:pt idx="158">
                  <c:v>215.31930786914677</c:v>
                </c:pt>
                <c:pt idx="159">
                  <c:v>215.20384806153913</c:v>
                </c:pt>
                <c:pt idx="160">
                  <c:v>215.08829568988494</c:v>
                </c:pt>
                <c:pt idx="161">
                  <c:v>214.97265075418426</c:v>
                </c:pt>
                <c:pt idx="162">
                  <c:v>214.85691325443699</c:v>
                </c:pt>
                <c:pt idx="163">
                  <c:v>214.74108319064322</c:v>
                </c:pt>
                <c:pt idx="164">
                  <c:v>214.62516056280293</c:v>
                </c:pt>
                <c:pt idx="165">
                  <c:v>214.50914537091612</c:v>
                </c:pt>
                <c:pt idx="166">
                  <c:v>214.39303761498275</c:v>
                </c:pt>
                <c:pt idx="167">
                  <c:v>214.27683729500285</c:v>
                </c:pt>
                <c:pt idx="168">
                  <c:v>214.16054441097648</c:v>
                </c:pt>
                <c:pt idx="169">
                  <c:v>214.04415896290354</c:v>
                </c:pt>
                <c:pt idx="170">
                  <c:v>213.92768095078409</c:v>
                </c:pt>
                <c:pt idx="171">
                  <c:v>213.8111103746181</c:v>
                </c:pt>
                <c:pt idx="172">
                  <c:v>213.69444723440557</c:v>
                </c:pt>
                <c:pt idx="173">
                  <c:v>213.57769153014652</c:v>
                </c:pt>
                <c:pt idx="174">
                  <c:v>213.46084326184095</c:v>
                </c:pt>
                <c:pt idx="175">
                  <c:v>213.34390242948885</c:v>
                </c:pt>
                <c:pt idx="176">
                  <c:v>213.2268690330902</c:v>
                </c:pt>
                <c:pt idx="177">
                  <c:v>213.10974307264505</c:v>
                </c:pt>
                <c:pt idx="178">
                  <c:v>212.99252454815334</c:v>
                </c:pt>
                <c:pt idx="179">
                  <c:v>212.87521345961514</c:v>
                </c:pt>
                <c:pt idx="180">
                  <c:v>212.75780980703041</c:v>
                </c:pt>
                <c:pt idx="181">
                  <c:v>212.64031359039913</c:v>
                </c:pt>
                <c:pt idx="182">
                  <c:v>212.52272480972135</c:v>
                </c:pt>
                <c:pt idx="183">
                  <c:v>212.40504346499702</c:v>
                </c:pt>
                <c:pt idx="184">
                  <c:v>212.28726955622616</c:v>
                </c:pt>
                <c:pt idx="185">
                  <c:v>212.16940308340878</c:v>
                </c:pt>
                <c:pt idx="186">
                  <c:v>212.05144404654484</c:v>
                </c:pt>
                <c:pt idx="187">
                  <c:v>211.93339244563441</c:v>
                </c:pt>
                <c:pt idx="188">
                  <c:v>211.81524828067748</c:v>
                </c:pt>
                <c:pt idx="189">
                  <c:v>211.69701155167397</c:v>
                </c:pt>
                <c:pt idx="190">
                  <c:v>211.57868225862396</c:v>
                </c:pt>
                <c:pt idx="191">
                  <c:v>211.46026040152742</c:v>
                </c:pt>
                <c:pt idx="192">
                  <c:v>211.34174598038436</c:v>
                </c:pt>
                <c:pt idx="193">
                  <c:v>211.22313899519474</c:v>
                </c:pt>
                <c:pt idx="194">
                  <c:v>211.1044394459586</c:v>
                </c:pt>
                <c:pt idx="195">
                  <c:v>210.98564733267594</c:v>
                </c:pt>
                <c:pt idx="196">
                  <c:v>210.86676265534675</c:v>
                </c:pt>
                <c:pt idx="197">
                  <c:v>210.74778541397103</c:v>
                </c:pt>
                <c:pt idx="198">
                  <c:v>210.62871560854879</c:v>
                </c:pt>
                <c:pt idx="199">
                  <c:v>210.50955323908002</c:v>
                </c:pt>
                <c:pt idx="200">
                  <c:v>210.39029830556473</c:v>
                </c:pt>
                <c:pt idx="201">
                  <c:v>210.27095080800291</c:v>
                </c:pt>
                <c:pt idx="202">
                  <c:v>210.15151074639454</c:v>
                </c:pt>
                <c:pt idx="203">
                  <c:v>210.03197812073967</c:v>
                </c:pt>
                <c:pt idx="204">
                  <c:v>209.91235293103824</c:v>
                </c:pt>
                <c:pt idx="205">
                  <c:v>209.79263517729029</c:v>
                </c:pt>
                <c:pt idx="206">
                  <c:v>209.67282485949582</c:v>
                </c:pt>
                <c:pt idx="207">
                  <c:v>209.55292197765482</c:v>
                </c:pt>
                <c:pt idx="208">
                  <c:v>209.43292653176729</c:v>
                </c:pt>
                <c:pt idx="209">
                  <c:v>209.31283852183324</c:v>
                </c:pt>
                <c:pt idx="210">
                  <c:v>209.19265794785267</c:v>
                </c:pt>
                <c:pt idx="211">
                  <c:v>209.07238480982556</c:v>
                </c:pt>
                <c:pt idx="212">
                  <c:v>208.95201910775194</c:v>
                </c:pt>
                <c:pt idx="213">
                  <c:v>208.83156084163176</c:v>
                </c:pt>
                <c:pt idx="214">
                  <c:v>208.71101001146508</c:v>
                </c:pt>
                <c:pt idx="215">
                  <c:v>208.59036661725185</c:v>
                </c:pt>
                <c:pt idx="216">
                  <c:v>208.46963065899212</c:v>
                </c:pt>
                <c:pt idx="217">
                  <c:v>208.34880213668583</c:v>
                </c:pt>
                <c:pt idx="218">
                  <c:v>208.22788105033302</c:v>
                </c:pt>
                <c:pt idx="219">
                  <c:v>208.10686739993372</c:v>
                </c:pt>
                <c:pt idx="220">
                  <c:v>207.98576118548786</c:v>
                </c:pt>
                <c:pt idx="221">
                  <c:v>207.86456240699547</c:v>
                </c:pt>
                <c:pt idx="222">
                  <c:v>207.74327106445656</c:v>
                </c:pt>
                <c:pt idx="223">
                  <c:v>207.62188715787113</c:v>
                </c:pt>
                <c:pt idx="224">
                  <c:v>207.50041068723914</c:v>
                </c:pt>
                <c:pt idx="225">
                  <c:v>207.37884165256065</c:v>
                </c:pt>
                <c:pt idx="226">
                  <c:v>207.25718005383561</c:v>
                </c:pt>
                <c:pt idx="227">
                  <c:v>207.13542589106407</c:v>
                </c:pt>
                <c:pt idx="228">
                  <c:v>207.01357916424595</c:v>
                </c:pt>
                <c:pt idx="229">
                  <c:v>206.89163987338137</c:v>
                </c:pt>
                <c:pt idx="230">
                  <c:v>206.76960801847022</c:v>
                </c:pt>
                <c:pt idx="231">
                  <c:v>206.64748359951255</c:v>
                </c:pt>
                <c:pt idx="232">
                  <c:v>206.52526661650839</c:v>
                </c:pt>
                <c:pt idx="233">
                  <c:v>206.40295706945767</c:v>
                </c:pt>
                <c:pt idx="234">
                  <c:v>206.28055495836043</c:v>
                </c:pt>
                <c:pt idx="235">
                  <c:v>206.15806028321663</c:v>
                </c:pt>
                <c:pt idx="236">
                  <c:v>206.03547304402633</c:v>
                </c:pt>
                <c:pt idx="237">
                  <c:v>205.91279324078948</c:v>
                </c:pt>
                <c:pt idx="238">
                  <c:v>205.79002087350614</c:v>
                </c:pt>
                <c:pt idx="239">
                  <c:v>205.66715594217621</c:v>
                </c:pt>
                <c:pt idx="240">
                  <c:v>205.54419844679981</c:v>
                </c:pt>
                <c:pt idx="241">
                  <c:v>205.42114838737686</c:v>
                </c:pt>
                <c:pt idx="242">
                  <c:v>205.29800576390738</c:v>
                </c:pt>
                <c:pt idx="243">
                  <c:v>205.17477057639141</c:v>
                </c:pt>
                <c:pt idx="244">
                  <c:v>205.05096809485153</c:v>
                </c:pt>
                <c:pt idx="245">
                  <c:v>204.92659831928779</c:v>
                </c:pt>
                <c:pt idx="246">
                  <c:v>204.8016612497002</c:v>
                </c:pt>
                <c:pt idx="247">
                  <c:v>204.67615688608876</c:v>
                </c:pt>
                <c:pt idx="248">
                  <c:v>204.55008522845341</c:v>
                </c:pt>
                <c:pt idx="249">
                  <c:v>204.42344627679424</c:v>
                </c:pt>
                <c:pt idx="250">
                  <c:v>204.29624003111118</c:v>
                </c:pt>
                <c:pt idx="251">
                  <c:v>204.16846649140427</c:v>
                </c:pt>
                <c:pt idx="252">
                  <c:v>204.04012565767349</c:v>
                </c:pt>
                <c:pt idx="253">
                  <c:v>203.91147881520783</c:v>
                </c:pt>
                <c:pt idx="254">
                  <c:v>203.78278724929621</c:v>
                </c:pt>
                <c:pt idx="255">
                  <c:v>203.65405095993862</c:v>
                </c:pt>
                <c:pt idx="256">
                  <c:v>203.52526994713506</c:v>
                </c:pt>
                <c:pt idx="257">
                  <c:v>203.39644421088556</c:v>
                </c:pt>
                <c:pt idx="258">
                  <c:v>203.26757375119013</c:v>
                </c:pt>
                <c:pt idx="259">
                  <c:v>203.13865856804875</c:v>
                </c:pt>
                <c:pt idx="260">
                  <c:v>203.00969866146141</c:v>
                </c:pt>
                <c:pt idx="261">
                  <c:v>202.88069403142813</c:v>
                </c:pt>
                <c:pt idx="262">
                  <c:v>202.75164467794889</c:v>
                </c:pt>
                <c:pt idx="263">
                  <c:v>202.62255060102368</c:v>
                </c:pt>
                <c:pt idx="264">
                  <c:v>202.49341180065252</c:v>
                </c:pt>
                <c:pt idx="265">
                  <c:v>202.36422827683543</c:v>
                </c:pt>
                <c:pt idx="266">
                  <c:v>202.23500002957238</c:v>
                </c:pt>
                <c:pt idx="267">
                  <c:v>202.10572705886341</c:v>
                </c:pt>
                <c:pt idx="268">
                  <c:v>201.97640936470845</c:v>
                </c:pt>
                <c:pt idx="269">
                  <c:v>201.84704694710751</c:v>
                </c:pt>
                <c:pt idx="270">
                  <c:v>201.71763980606067</c:v>
                </c:pt>
                <c:pt idx="271">
                  <c:v>201.58818794156787</c:v>
                </c:pt>
                <c:pt idx="272">
                  <c:v>201.45869135362909</c:v>
                </c:pt>
                <c:pt idx="273">
                  <c:v>201.32915004224441</c:v>
                </c:pt>
                <c:pt idx="274">
                  <c:v>201.19956400741376</c:v>
                </c:pt>
                <c:pt idx="275">
                  <c:v>201.06993324913714</c:v>
                </c:pt>
                <c:pt idx="276">
                  <c:v>200.94025776741458</c:v>
                </c:pt>
                <c:pt idx="277">
                  <c:v>200.81055011281393</c:v>
                </c:pt>
                <c:pt idx="278">
                  <c:v>200.68082911118702</c:v>
                </c:pt>
                <c:pt idx="279">
                  <c:v>200.55109476253389</c:v>
                </c:pt>
                <c:pt idx="280">
                  <c:v>200.42134706685445</c:v>
                </c:pt>
                <c:pt idx="281">
                  <c:v>200.29158602414876</c:v>
                </c:pt>
                <c:pt idx="282">
                  <c:v>200.16181163441681</c:v>
                </c:pt>
                <c:pt idx="283">
                  <c:v>200.03202389765855</c:v>
                </c:pt>
                <c:pt idx="284">
                  <c:v>199.90222281387406</c:v>
                </c:pt>
                <c:pt idx="285">
                  <c:v>199.77240838306332</c:v>
                </c:pt>
                <c:pt idx="286">
                  <c:v>199.64258060522627</c:v>
                </c:pt>
                <c:pt idx="287">
                  <c:v>199.512739480363</c:v>
                </c:pt>
                <c:pt idx="288">
                  <c:v>199.38288500847344</c:v>
                </c:pt>
                <c:pt idx="289">
                  <c:v>199.25301718955765</c:v>
                </c:pt>
                <c:pt idx="290">
                  <c:v>199.12313602361556</c:v>
                </c:pt>
                <c:pt idx="291">
                  <c:v>198.99324151064721</c:v>
                </c:pt>
                <c:pt idx="292">
                  <c:v>198.86333365065261</c:v>
                </c:pt>
                <c:pt idx="293">
                  <c:v>198.73341244363172</c:v>
                </c:pt>
                <c:pt idx="294">
                  <c:v>198.60347788958455</c:v>
                </c:pt>
                <c:pt idx="295">
                  <c:v>198.47352998851116</c:v>
                </c:pt>
                <c:pt idx="296">
                  <c:v>198.34356874041148</c:v>
                </c:pt>
                <c:pt idx="297">
                  <c:v>198.21359414528553</c:v>
                </c:pt>
                <c:pt idx="298">
                  <c:v>198.08360620313334</c:v>
                </c:pt>
                <c:pt idx="299">
                  <c:v>197.95360491395488</c:v>
                </c:pt>
                <c:pt idx="300">
                  <c:v>197.82359027775013</c:v>
                </c:pt>
                <c:pt idx="301">
                  <c:v>197.69356229451913</c:v>
                </c:pt>
                <c:pt idx="302">
                  <c:v>197.56352096426187</c:v>
                </c:pt>
                <c:pt idx="303">
                  <c:v>197.43346628697833</c:v>
                </c:pt>
                <c:pt idx="304">
                  <c:v>197.30339826266854</c:v>
                </c:pt>
                <c:pt idx="305">
                  <c:v>197.17331689133249</c:v>
                </c:pt>
                <c:pt idx="306">
                  <c:v>197.04322217297013</c:v>
                </c:pt>
                <c:pt idx="307">
                  <c:v>196.91311410758155</c:v>
                </c:pt>
                <c:pt idx="308">
                  <c:v>196.78299269516668</c:v>
                </c:pt>
                <c:pt idx="309">
                  <c:v>196.65285793572556</c:v>
                </c:pt>
                <c:pt idx="310">
                  <c:v>196.52270982925816</c:v>
                </c:pt>
                <c:pt idx="311">
                  <c:v>196.39254837576451</c:v>
                </c:pt>
                <c:pt idx="312">
                  <c:v>196.2623735752446</c:v>
                </c:pt>
                <c:pt idx="313">
                  <c:v>196.1321854276984</c:v>
                </c:pt>
                <c:pt idx="314">
                  <c:v>196.00198393312596</c:v>
                </c:pt>
                <c:pt idx="315">
                  <c:v>195.87176909152726</c:v>
                </c:pt>
                <c:pt idx="316">
                  <c:v>195.74154090290224</c:v>
                </c:pt>
                <c:pt idx="317">
                  <c:v>195.61129936725101</c:v>
                </c:pt>
                <c:pt idx="318">
                  <c:v>195.48104448457349</c:v>
                </c:pt>
                <c:pt idx="319">
                  <c:v>195.35077625486971</c:v>
                </c:pt>
                <c:pt idx="320">
                  <c:v>195.22049467813966</c:v>
                </c:pt>
                <c:pt idx="321">
                  <c:v>195.09019975438335</c:v>
                </c:pt>
                <c:pt idx="322">
                  <c:v>194.95989148360079</c:v>
                </c:pt>
                <c:pt idx="323">
                  <c:v>194.82956986579194</c:v>
                </c:pt>
                <c:pt idx="324">
                  <c:v>194.69923490095684</c:v>
                </c:pt>
                <c:pt idx="325">
                  <c:v>194.56888658909548</c:v>
                </c:pt>
                <c:pt idx="326">
                  <c:v>194.43852493020785</c:v>
                </c:pt>
                <c:pt idx="327">
                  <c:v>194.30814992429393</c:v>
                </c:pt>
                <c:pt idx="328">
                  <c:v>194.17776157135378</c:v>
                </c:pt>
                <c:pt idx="329">
                  <c:v>194.04735987138733</c:v>
                </c:pt>
                <c:pt idx="330">
                  <c:v>193.91694482439462</c:v>
                </c:pt>
                <c:pt idx="331">
                  <c:v>193.78651643037568</c:v>
                </c:pt>
                <c:pt idx="332">
                  <c:v>193.65607468933047</c:v>
                </c:pt>
                <c:pt idx="333">
                  <c:v>193.52561960125897</c:v>
                </c:pt>
                <c:pt idx="334">
                  <c:v>193.39515116616121</c:v>
                </c:pt>
                <c:pt idx="335">
                  <c:v>193.26466938403721</c:v>
                </c:pt>
                <c:pt idx="336">
                  <c:v>193.13417425488691</c:v>
                </c:pt>
                <c:pt idx="337">
                  <c:v>193.00366577871034</c:v>
                </c:pt>
                <c:pt idx="338">
                  <c:v>192.87314395550754</c:v>
                </c:pt>
                <c:pt idx="339">
                  <c:v>192.74260878527843</c:v>
                </c:pt>
                <c:pt idx="340">
                  <c:v>192.6120602680231</c:v>
                </c:pt>
                <c:pt idx="341">
                  <c:v>192.48149840374148</c:v>
                </c:pt>
                <c:pt idx="342">
                  <c:v>192.35092319243361</c:v>
                </c:pt>
                <c:pt idx="343">
                  <c:v>192.22033463409946</c:v>
                </c:pt>
                <c:pt idx="344">
                  <c:v>192.08972255609601</c:v>
                </c:pt>
                <c:pt idx="345">
                  <c:v>191.95899540463571</c:v>
                </c:pt>
                <c:pt idx="346">
                  <c:v>191.82815317971858</c:v>
                </c:pt>
                <c:pt idx="347">
                  <c:v>191.69719588134461</c:v>
                </c:pt>
                <c:pt idx="348">
                  <c:v>191.5661235095138</c:v>
                </c:pt>
                <c:pt idx="349">
                  <c:v>191.43493606422615</c:v>
                </c:pt>
                <c:pt idx="350">
                  <c:v>191.30363354548169</c:v>
                </c:pt>
                <c:pt idx="351">
                  <c:v>191.17221595328036</c:v>
                </c:pt>
                <c:pt idx="352">
                  <c:v>191.04068328762222</c:v>
                </c:pt>
                <c:pt idx="353">
                  <c:v>190.90903554850726</c:v>
                </c:pt>
                <c:pt idx="354">
                  <c:v>190.77727273593547</c:v>
                </c:pt>
                <c:pt idx="355">
                  <c:v>190.64539484990681</c:v>
                </c:pt>
                <c:pt idx="356">
                  <c:v>190.51340189042131</c:v>
                </c:pt>
                <c:pt idx="357">
                  <c:v>190.38129385747897</c:v>
                </c:pt>
                <c:pt idx="358">
                  <c:v>190.24907075107981</c:v>
                </c:pt>
                <c:pt idx="359">
                  <c:v>190.11673257122385</c:v>
                </c:pt>
                <c:pt idx="360">
                  <c:v>189.98427931791102</c:v>
                </c:pt>
                <c:pt idx="361">
                  <c:v>189.85171099114135</c:v>
                </c:pt>
                <c:pt idx="362">
                  <c:v>189.71902759091483</c:v>
                </c:pt>
                <c:pt idx="363">
                  <c:v>189.58622911723151</c:v>
                </c:pt>
                <c:pt idx="364">
                  <c:v>189.45331557009135</c:v>
                </c:pt>
                <c:pt idx="365">
                  <c:v>189.32028694949435</c:v>
                </c:pt>
                <c:pt idx="366">
                  <c:v>189.1871432554405</c:v>
                </c:pt>
                <c:pt idx="367">
                  <c:v>189.05388448792985</c:v>
                </c:pt>
                <c:pt idx="368">
                  <c:v>188.92051064696233</c:v>
                </c:pt>
                <c:pt idx="369">
                  <c:v>188.78702173253797</c:v>
                </c:pt>
                <c:pt idx="370">
                  <c:v>188.65341774465679</c:v>
                </c:pt>
                <c:pt idx="371">
                  <c:v>188.51969868331878</c:v>
                </c:pt>
                <c:pt idx="372">
                  <c:v>188.38586454852393</c:v>
                </c:pt>
                <c:pt idx="373">
                  <c:v>188.25198078801805</c:v>
                </c:pt>
                <c:pt idx="374">
                  <c:v>188.11804740180105</c:v>
                </c:pt>
                <c:pt idx="375">
                  <c:v>187.98406438987303</c:v>
                </c:pt>
                <c:pt idx="376">
                  <c:v>187.85003175223395</c:v>
                </c:pt>
                <c:pt idx="377">
                  <c:v>187.71594948888375</c:v>
                </c:pt>
                <c:pt idx="378">
                  <c:v>187.58181759982253</c:v>
                </c:pt>
                <c:pt idx="379">
                  <c:v>187.44763608505025</c:v>
                </c:pt>
                <c:pt idx="380">
                  <c:v>187.31340494456688</c:v>
                </c:pt>
                <c:pt idx="381">
                  <c:v>187.17912417837246</c:v>
                </c:pt>
                <c:pt idx="382">
                  <c:v>187.04479378646698</c:v>
                </c:pt>
                <c:pt idx="383">
                  <c:v>186.91041376885042</c:v>
                </c:pt>
                <c:pt idx="384">
                  <c:v>186.7759841255228</c:v>
                </c:pt>
                <c:pt idx="385">
                  <c:v>186.64150485648415</c:v>
                </c:pt>
                <c:pt idx="386">
                  <c:v>186.50697596173441</c:v>
                </c:pt>
                <c:pt idx="387">
                  <c:v>186.37239744127362</c:v>
                </c:pt>
                <c:pt idx="388">
                  <c:v>186.23776929510174</c:v>
                </c:pt>
                <c:pt idx="389">
                  <c:v>186.10309152321884</c:v>
                </c:pt>
                <c:pt idx="390">
                  <c:v>185.96836412562482</c:v>
                </c:pt>
                <c:pt idx="391">
                  <c:v>185.83358710231977</c:v>
                </c:pt>
                <c:pt idx="392">
                  <c:v>185.69876045330366</c:v>
                </c:pt>
                <c:pt idx="393">
                  <c:v>185.56388417857647</c:v>
                </c:pt>
                <c:pt idx="394">
                  <c:v>185.42895827813823</c:v>
                </c:pt>
                <c:pt idx="395">
                  <c:v>185.29398275198892</c:v>
                </c:pt>
                <c:pt idx="396">
                  <c:v>185.15895760012853</c:v>
                </c:pt>
                <c:pt idx="397">
                  <c:v>185.02388282255708</c:v>
                </c:pt>
                <c:pt idx="398">
                  <c:v>184.88875841927461</c:v>
                </c:pt>
                <c:pt idx="399">
                  <c:v>184.75358439028102</c:v>
                </c:pt>
                <c:pt idx="400">
                  <c:v>184.61836073557637</c:v>
                </c:pt>
                <c:pt idx="401">
                  <c:v>184.4830874551607</c:v>
                </c:pt>
                <c:pt idx="402">
                  <c:v>184.34776454903394</c:v>
                </c:pt>
                <c:pt idx="403">
                  <c:v>184.21239201719612</c:v>
                </c:pt>
                <c:pt idx="404">
                  <c:v>184.07696985964725</c:v>
                </c:pt>
                <c:pt idx="405">
                  <c:v>183.94149807638732</c:v>
                </c:pt>
                <c:pt idx="406">
                  <c:v>183.80597666741627</c:v>
                </c:pt>
                <c:pt idx="407">
                  <c:v>183.6704056327342</c:v>
                </c:pt>
                <c:pt idx="408">
                  <c:v>183.5347849723411</c:v>
                </c:pt>
                <c:pt idx="409">
                  <c:v>183.39918693857453</c:v>
                </c:pt>
                <c:pt idx="410">
                  <c:v>183.26362959451899</c:v>
                </c:pt>
                <c:pt idx="411">
                  <c:v>183.12811294017442</c:v>
                </c:pt>
                <c:pt idx="412">
                  <c:v>182.99263697554088</c:v>
                </c:pt>
                <c:pt idx="413">
                  <c:v>182.85720170061833</c:v>
                </c:pt>
                <c:pt idx="414">
                  <c:v>182.72180711540676</c:v>
                </c:pt>
                <c:pt idx="415">
                  <c:v>182.58645321990622</c:v>
                </c:pt>
                <c:pt idx="416">
                  <c:v>182.45114001411662</c:v>
                </c:pt>
                <c:pt idx="417">
                  <c:v>182.31586749803802</c:v>
                </c:pt>
                <c:pt idx="418">
                  <c:v>182.18063567167042</c:v>
                </c:pt>
                <c:pt idx="419">
                  <c:v>182.04544453501384</c:v>
                </c:pt>
                <c:pt idx="420">
                  <c:v>181.91029408806824</c:v>
                </c:pt>
                <c:pt idx="421">
                  <c:v>181.77518433083364</c:v>
                </c:pt>
                <c:pt idx="422">
                  <c:v>181.64011526331004</c:v>
                </c:pt>
                <c:pt idx="423">
                  <c:v>181.50508688549746</c:v>
                </c:pt>
                <c:pt idx="424">
                  <c:v>181.37009919739586</c:v>
                </c:pt>
                <c:pt idx="425">
                  <c:v>181.23515219900526</c:v>
                </c:pt>
                <c:pt idx="426">
                  <c:v>181.10024589032565</c:v>
                </c:pt>
                <c:pt idx="427">
                  <c:v>180.96538027135705</c:v>
                </c:pt>
                <c:pt idx="428">
                  <c:v>180.83055534209947</c:v>
                </c:pt>
                <c:pt idx="429">
                  <c:v>180.69577110255281</c:v>
                </c:pt>
                <c:pt idx="430">
                  <c:v>180.56102755271718</c:v>
                </c:pt>
                <c:pt idx="431">
                  <c:v>180.42632469259254</c:v>
                </c:pt>
                <c:pt idx="432">
                  <c:v>180.29166252217891</c:v>
                </c:pt>
                <c:pt idx="433">
                  <c:v>180.15704104147628</c:v>
                </c:pt>
                <c:pt idx="434">
                  <c:v>180.02246025048464</c:v>
                </c:pt>
                <c:pt idx="435">
                  <c:v>179.88792014920401</c:v>
                </c:pt>
                <c:pt idx="436">
                  <c:v>179.75342073763434</c:v>
                </c:pt>
                <c:pt idx="437">
                  <c:v>179.61896201577571</c:v>
                </c:pt>
                <c:pt idx="438">
                  <c:v>179.48454398362807</c:v>
                </c:pt>
                <c:pt idx="439">
                  <c:v>179.35016664119144</c:v>
                </c:pt>
                <c:pt idx="440">
                  <c:v>179.21582998846577</c:v>
                </c:pt>
                <c:pt idx="441">
                  <c:v>179.08153402545113</c:v>
                </c:pt>
                <c:pt idx="442">
                  <c:v>178.94727875214747</c:v>
                </c:pt>
                <c:pt idx="443">
                  <c:v>178.81306416855477</c:v>
                </c:pt>
                <c:pt idx="444">
                  <c:v>178.67889027467311</c:v>
                </c:pt>
                <c:pt idx="445">
                  <c:v>178.54475707050241</c:v>
                </c:pt>
                <c:pt idx="446">
                  <c:v>178.41066455604272</c:v>
                </c:pt>
                <c:pt idx="447">
                  <c:v>178.27661273129405</c:v>
                </c:pt>
                <c:pt idx="448">
                  <c:v>178.14260159625636</c:v>
                </c:pt>
                <c:pt idx="449">
                  <c:v>178.00863115092969</c:v>
                </c:pt>
                <c:pt idx="450">
                  <c:v>177.87470139531399</c:v>
                </c:pt>
                <c:pt idx="451">
                  <c:v>177.74081232940929</c:v>
                </c:pt>
                <c:pt idx="452">
                  <c:v>177.60696395321563</c:v>
                </c:pt>
                <c:pt idx="453">
                  <c:v>177.47315626673293</c:v>
                </c:pt>
                <c:pt idx="454">
                  <c:v>177.33938926996123</c:v>
                </c:pt>
                <c:pt idx="455">
                  <c:v>177.20566296290056</c:v>
                </c:pt>
                <c:pt idx="456">
                  <c:v>177.07197734555083</c:v>
                </c:pt>
                <c:pt idx="457">
                  <c:v>176.93833241791211</c:v>
                </c:pt>
                <c:pt idx="458">
                  <c:v>176.80472817998438</c:v>
                </c:pt>
                <c:pt idx="459">
                  <c:v>176.67116463176765</c:v>
                </c:pt>
                <c:pt idx="460">
                  <c:v>176.53764177326192</c:v>
                </c:pt>
                <c:pt idx="461">
                  <c:v>176.4041596044672</c:v>
                </c:pt>
                <c:pt idx="462">
                  <c:v>176.27071812538347</c:v>
                </c:pt>
                <c:pt idx="463">
                  <c:v>176.13731733601074</c:v>
                </c:pt>
                <c:pt idx="464">
                  <c:v>176.00395723634901</c:v>
                </c:pt>
                <c:pt idx="465">
                  <c:v>175.87063782639828</c:v>
                </c:pt>
                <c:pt idx="466">
                  <c:v>175.73735910615855</c:v>
                </c:pt>
                <c:pt idx="467">
                  <c:v>175.60412107562982</c:v>
                </c:pt>
                <c:pt idx="468">
                  <c:v>175.47092373481209</c:v>
                </c:pt>
                <c:pt idx="469">
                  <c:v>175.3377670837053</c:v>
                </c:pt>
                <c:pt idx="470">
                  <c:v>175.20465112230954</c:v>
                </c:pt>
                <c:pt idx="471">
                  <c:v>175.07157585062478</c:v>
                </c:pt>
                <c:pt idx="472">
                  <c:v>174.93854126865099</c:v>
                </c:pt>
                <c:pt idx="473">
                  <c:v>174.80554737638823</c:v>
                </c:pt>
                <c:pt idx="474">
                  <c:v>174.67259417383647</c:v>
                </c:pt>
                <c:pt idx="475">
                  <c:v>174.53968166099568</c:v>
                </c:pt>
                <c:pt idx="476">
                  <c:v>174.40680983786592</c:v>
                </c:pt>
                <c:pt idx="477">
                  <c:v>174.27397870444713</c:v>
                </c:pt>
                <c:pt idx="478">
                  <c:v>174.14118826073937</c:v>
                </c:pt>
                <c:pt idx="479">
                  <c:v>174.00843850674258</c:v>
                </c:pt>
                <c:pt idx="480">
                  <c:v>173.87572944245682</c:v>
                </c:pt>
                <c:pt idx="481">
                  <c:v>173.74306106788202</c:v>
                </c:pt>
                <c:pt idx="482">
                  <c:v>173.61043338301823</c:v>
                </c:pt>
                <c:pt idx="483">
                  <c:v>173.47784638786541</c:v>
                </c:pt>
                <c:pt idx="484">
                  <c:v>173.34530008242359</c:v>
                </c:pt>
                <c:pt idx="485">
                  <c:v>173.21279446669277</c:v>
                </c:pt>
                <c:pt idx="486">
                  <c:v>173.08032954067298</c:v>
                </c:pt>
                <c:pt idx="487">
                  <c:v>172.94790530436416</c:v>
                </c:pt>
                <c:pt idx="488">
                  <c:v>172.81552175776633</c:v>
                </c:pt>
                <c:pt idx="489">
                  <c:v>172.68317890087951</c:v>
                </c:pt>
                <c:pt idx="490">
                  <c:v>172.55087673370369</c:v>
                </c:pt>
                <c:pt idx="491">
                  <c:v>172.41861525623887</c:v>
                </c:pt>
                <c:pt idx="492">
                  <c:v>172.28639446848507</c:v>
                </c:pt>
                <c:pt idx="493">
                  <c:v>172.15421437044225</c:v>
                </c:pt>
                <c:pt idx="494">
                  <c:v>172.02207496211042</c:v>
                </c:pt>
                <c:pt idx="495">
                  <c:v>171.8899762434896</c:v>
                </c:pt>
                <c:pt idx="496">
                  <c:v>171.75791821457975</c:v>
                </c:pt>
                <c:pt idx="497">
                  <c:v>171.62592273953254</c:v>
                </c:pt>
                <c:pt idx="498">
                  <c:v>171.4940116824996</c:v>
                </c:pt>
                <c:pt idx="499">
                  <c:v>171.36218504348093</c:v>
                </c:pt>
                <c:pt idx="500">
                  <c:v>171.23044282247653</c:v>
                </c:pt>
                <c:pt idx="501">
                  <c:v>171.0987850194864</c:v>
                </c:pt>
                <c:pt idx="502">
                  <c:v>170.96721163451053</c:v>
                </c:pt>
                <c:pt idx="503">
                  <c:v>170.83572266754891</c:v>
                </c:pt>
                <c:pt idx="504">
                  <c:v>170.70431811860158</c:v>
                </c:pt>
                <c:pt idx="505">
                  <c:v>170.57299798766851</c:v>
                </c:pt>
                <c:pt idx="506">
                  <c:v>170.44176227474969</c:v>
                </c:pt>
                <c:pt idx="507">
                  <c:v>170.31061097984517</c:v>
                </c:pt>
                <c:pt idx="508">
                  <c:v>170.17954410295491</c:v>
                </c:pt>
                <c:pt idx="509">
                  <c:v>170.04856164407889</c:v>
                </c:pt>
                <c:pt idx="510">
                  <c:v>169.91766360321716</c:v>
                </c:pt>
                <c:pt idx="511">
                  <c:v>169.78684998036971</c:v>
                </c:pt>
                <c:pt idx="512">
                  <c:v>169.65612077553652</c:v>
                </c:pt>
                <c:pt idx="513">
                  <c:v>169.5254759887176</c:v>
                </c:pt>
                <c:pt idx="514">
                  <c:v>169.39491561991295</c:v>
                </c:pt>
                <c:pt idx="515">
                  <c:v>169.26443966912254</c:v>
                </c:pt>
                <c:pt idx="516">
                  <c:v>169.13404813634645</c:v>
                </c:pt>
                <c:pt idx="517">
                  <c:v>169.00374102158457</c:v>
                </c:pt>
                <c:pt idx="518">
                  <c:v>168.87351832483699</c:v>
                </c:pt>
                <c:pt idx="519">
                  <c:v>168.74338004610368</c:v>
                </c:pt>
                <c:pt idx="520">
                  <c:v>168.61332618538464</c:v>
                </c:pt>
                <c:pt idx="521">
                  <c:v>168.48335674267986</c:v>
                </c:pt>
                <c:pt idx="522">
                  <c:v>168.35347171798935</c:v>
                </c:pt>
                <c:pt idx="523">
                  <c:v>168.22367111131311</c:v>
                </c:pt>
                <c:pt idx="524">
                  <c:v>168.09395492265114</c:v>
                </c:pt>
                <c:pt idx="525">
                  <c:v>167.96432315200343</c:v>
                </c:pt>
                <c:pt idx="526">
                  <c:v>167.83477579936999</c:v>
                </c:pt>
                <c:pt idx="527">
                  <c:v>167.70531286475082</c:v>
                </c:pt>
                <c:pt idx="528">
                  <c:v>167.57593434814595</c:v>
                </c:pt>
                <c:pt idx="529">
                  <c:v>167.44664024955532</c:v>
                </c:pt>
                <c:pt idx="530">
                  <c:v>167.31743056897892</c:v>
                </c:pt>
                <c:pt idx="531">
                  <c:v>167.18830530641685</c:v>
                </c:pt>
                <c:pt idx="532">
                  <c:v>167.05926446186902</c:v>
                </c:pt>
                <c:pt idx="533">
                  <c:v>166.93030803533546</c:v>
                </c:pt>
                <c:pt idx="534">
                  <c:v>166.80143602681613</c:v>
                </c:pt>
                <c:pt idx="535">
                  <c:v>166.67264843631111</c:v>
                </c:pt>
                <c:pt idx="536">
                  <c:v>166.54394526382035</c:v>
                </c:pt>
                <c:pt idx="537">
                  <c:v>166.41532650934386</c:v>
                </c:pt>
                <c:pt idx="538">
                  <c:v>166.28679217288163</c:v>
                </c:pt>
                <c:pt idx="539">
                  <c:v>166.15834225443368</c:v>
                </c:pt>
                <c:pt idx="540">
                  <c:v>166.02997675399996</c:v>
                </c:pt>
                <c:pt idx="541">
                  <c:v>165.90169567158057</c:v>
                </c:pt>
                <c:pt idx="542">
                  <c:v>165.77349900717542</c:v>
                </c:pt>
                <c:pt idx="543">
                  <c:v>165.6453867607845</c:v>
                </c:pt>
                <c:pt idx="544">
                  <c:v>165.51735893240792</c:v>
                </c:pt>
                <c:pt idx="545">
                  <c:v>165.38941552204557</c:v>
                </c:pt>
                <c:pt idx="546">
                  <c:v>165.26155652969746</c:v>
                </c:pt>
                <c:pt idx="547">
                  <c:v>165.13378195536367</c:v>
                </c:pt>
                <c:pt idx="548">
                  <c:v>165.00609179904413</c:v>
                </c:pt>
                <c:pt idx="549">
                  <c:v>164.87848606073882</c:v>
                </c:pt>
                <c:pt idx="550">
                  <c:v>164.75097897755498</c:v>
                </c:pt>
                <c:pt idx="551">
                  <c:v>164.6236037694093</c:v>
                </c:pt>
                <c:pt idx="552">
                  <c:v>164.49636043630181</c:v>
                </c:pt>
                <c:pt idx="553">
                  <c:v>164.36924897823252</c:v>
                </c:pt>
                <c:pt idx="554">
                  <c:v>164.24226939520136</c:v>
                </c:pt>
                <c:pt idx="555">
                  <c:v>164.1154216872084</c:v>
                </c:pt>
                <c:pt idx="556">
                  <c:v>163.9887058542536</c:v>
                </c:pt>
                <c:pt idx="557">
                  <c:v>163.86212189633696</c:v>
                </c:pt>
                <c:pt idx="558">
                  <c:v>163.73566981345851</c:v>
                </c:pt>
                <c:pt idx="559">
                  <c:v>163.60934960561826</c:v>
                </c:pt>
                <c:pt idx="560">
                  <c:v>163.48316127281615</c:v>
                </c:pt>
                <c:pt idx="561">
                  <c:v>163.35710481505222</c:v>
                </c:pt>
                <c:pt idx="562">
                  <c:v>163.23118023232647</c:v>
                </c:pt>
                <c:pt idx="563">
                  <c:v>163.1053875246389</c:v>
                </c:pt>
                <c:pt idx="564">
                  <c:v>162.9797266919895</c:v>
                </c:pt>
                <c:pt idx="565">
                  <c:v>162.85419773437826</c:v>
                </c:pt>
                <c:pt idx="566">
                  <c:v>162.72880065180519</c:v>
                </c:pt>
                <c:pt idx="567">
                  <c:v>162.60353544427034</c:v>
                </c:pt>
                <c:pt idx="568">
                  <c:v>162.47840211177362</c:v>
                </c:pt>
                <c:pt idx="569">
                  <c:v>162.35340065431507</c:v>
                </c:pt>
                <c:pt idx="570">
                  <c:v>162.22853107189474</c:v>
                </c:pt>
                <c:pt idx="571">
                  <c:v>162.10379336451254</c:v>
                </c:pt>
                <c:pt idx="572">
                  <c:v>161.97918753216854</c:v>
                </c:pt>
                <c:pt idx="573">
                  <c:v>161.8547135748627</c:v>
                </c:pt>
                <c:pt idx="574">
                  <c:v>161.73037149259505</c:v>
                </c:pt>
                <c:pt idx="575">
                  <c:v>161.60616128536554</c:v>
                </c:pt>
                <c:pt idx="576">
                  <c:v>161.48208295317423</c:v>
                </c:pt>
                <c:pt idx="577">
                  <c:v>161.3581364960211</c:v>
                </c:pt>
                <c:pt idx="578">
                  <c:v>161.23432191390611</c:v>
                </c:pt>
                <c:pt idx="579">
                  <c:v>161.11063920682935</c:v>
                </c:pt>
                <c:pt idx="580">
                  <c:v>160.98708837479074</c:v>
                </c:pt>
                <c:pt idx="581">
                  <c:v>160.86366941779028</c:v>
                </c:pt>
                <c:pt idx="582">
                  <c:v>160.74038233582803</c:v>
                </c:pt>
                <c:pt idx="583">
                  <c:v>160.61722712890392</c:v>
                </c:pt>
                <c:pt idx="584">
                  <c:v>160.494203797018</c:v>
                </c:pt>
                <c:pt idx="585">
                  <c:v>160.37131234017025</c:v>
                </c:pt>
                <c:pt idx="586">
                  <c:v>160.24855275836069</c:v>
                </c:pt>
                <c:pt idx="587">
                  <c:v>160.12592505158929</c:v>
                </c:pt>
                <c:pt idx="588">
                  <c:v>160.00342921985606</c:v>
                </c:pt>
                <c:pt idx="589">
                  <c:v>159.88106526316102</c:v>
                </c:pt>
                <c:pt idx="590">
                  <c:v>159.75883318150414</c:v>
                </c:pt>
                <c:pt idx="591">
                  <c:v>159.63673297488543</c:v>
                </c:pt>
                <c:pt idx="592">
                  <c:v>159.51476464330491</c:v>
                </c:pt>
                <c:pt idx="593">
                  <c:v>159.39292818676256</c:v>
                </c:pt>
                <c:pt idx="594">
                  <c:v>159.27122360525834</c:v>
                </c:pt>
                <c:pt idx="595">
                  <c:v>159.14965089879234</c:v>
                </c:pt>
                <c:pt idx="596">
                  <c:v>159.02821006736451</c:v>
                </c:pt>
                <c:pt idx="597">
                  <c:v>158.90690111097481</c:v>
                </c:pt>
                <c:pt idx="598">
                  <c:v>158.78572402962334</c:v>
                </c:pt>
                <c:pt idx="599">
                  <c:v>158.66467882331003</c:v>
                </c:pt>
                <c:pt idx="600">
                  <c:v>158.54376549203488</c:v>
                </c:pt>
                <c:pt idx="601">
                  <c:v>158.42298403579792</c:v>
                </c:pt>
                <c:pt idx="602">
                  <c:v>158.30233445459911</c:v>
                </c:pt>
                <c:pt idx="603">
                  <c:v>158.18181674843848</c:v>
                </c:pt>
                <c:pt idx="604">
                  <c:v>158.06143091731604</c:v>
                </c:pt>
                <c:pt idx="605">
                  <c:v>157.94117696123178</c:v>
                </c:pt>
                <c:pt idx="606">
                  <c:v>157.82105488018567</c:v>
                </c:pt>
                <c:pt idx="607">
                  <c:v>157.70106467417776</c:v>
                </c:pt>
                <c:pt idx="608">
                  <c:v>157.58120634320798</c:v>
                </c:pt>
                <c:pt idx="609">
                  <c:v>157.4614798872764</c:v>
                </c:pt>
                <c:pt idx="610">
                  <c:v>157.34188530638301</c:v>
                </c:pt>
                <c:pt idx="611">
                  <c:v>157.22242260052778</c:v>
                </c:pt>
                <c:pt idx="612">
                  <c:v>157.10321276612004</c:v>
                </c:pt>
                <c:pt idx="613">
                  <c:v>156.98425580315973</c:v>
                </c:pt>
                <c:pt idx="614">
                  <c:v>156.86555171164687</c:v>
                </c:pt>
                <c:pt idx="615">
                  <c:v>156.74710049158153</c:v>
                </c:pt>
                <c:pt idx="616">
                  <c:v>156.62890214296363</c:v>
                </c:pt>
                <c:pt idx="617">
                  <c:v>156.51095666579317</c:v>
                </c:pt>
                <c:pt idx="618">
                  <c:v>156.39326406007021</c:v>
                </c:pt>
                <c:pt idx="619">
                  <c:v>156.2758243257947</c:v>
                </c:pt>
                <c:pt idx="620">
                  <c:v>156.15863746296665</c:v>
                </c:pt>
                <c:pt idx="621">
                  <c:v>156.04170347158609</c:v>
                </c:pt>
                <c:pt idx="622">
                  <c:v>155.92502235165298</c:v>
                </c:pt>
                <c:pt idx="623">
                  <c:v>155.80859410316734</c:v>
                </c:pt>
                <c:pt idx="624">
                  <c:v>155.69241872612918</c:v>
                </c:pt>
                <c:pt idx="625">
                  <c:v>155.57649622053844</c:v>
                </c:pt>
                <c:pt idx="626">
                  <c:v>155.4608265863952</c:v>
                </c:pt>
                <c:pt idx="627">
                  <c:v>155.34540982369944</c:v>
                </c:pt>
                <c:pt idx="628">
                  <c:v>155.23024593245111</c:v>
                </c:pt>
                <c:pt idx="629">
                  <c:v>155.11533491265027</c:v>
                </c:pt>
                <c:pt idx="630">
                  <c:v>155.00067676429688</c:v>
                </c:pt>
                <c:pt idx="631">
                  <c:v>154.88627148739096</c:v>
                </c:pt>
                <c:pt idx="632">
                  <c:v>154.77211908193252</c:v>
                </c:pt>
                <c:pt idx="633">
                  <c:v>154.65821954792153</c:v>
                </c:pt>
                <c:pt idx="634">
                  <c:v>154.54457288535801</c:v>
                </c:pt>
                <c:pt idx="635">
                  <c:v>154.43117909424194</c:v>
                </c:pt>
                <c:pt idx="636">
                  <c:v>154.31803817457336</c:v>
                </c:pt>
                <c:pt idx="637">
                  <c:v>154.20515012635224</c:v>
                </c:pt>
                <c:pt idx="638">
                  <c:v>154.09251494957857</c:v>
                </c:pt>
                <c:pt idx="639">
                  <c:v>153.98013264425236</c:v>
                </c:pt>
                <c:pt idx="640">
                  <c:v>153.86800321037364</c:v>
                </c:pt>
                <c:pt idx="641">
                  <c:v>153.75612664794238</c:v>
                </c:pt>
                <c:pt idx="642">
                  <c:v>153.64450295695858</c:v>
                </c:pt>
                <c:pt idx="643">
                  <c:v>153.53313213742226</c:v>
                </c:pt>
                <c:pt idx="644">
                  <c:v>153.42201418933337</c:v>
                </c:pt>
                <c:pt idx="645">
                  <c:v>153.31114911269199</c:v>
                </c:pt>
                <c:pt idx="646">
                  <c:v>153.20086433837551</c:v>
                </c:pt>
                <c:pt idx="647">
                  <c:v>153.09119624759262</c:v>
                </c:pt>
                <c:pt idx="648">
                  <c:v>152.9821448403433</c:v>
                </c:pt>
                <c:pt idx="649">
                  <c:v>152.87371011662751</c:v>
                </c:pt>
                <c:pt idx="650">
                  <c:v>152.76589207644531</c:v>
                </c:pt>
                <c:pt idx="651">
                  <c:v>152.65869071979665</c:v>
                </c:pt>
                <c:pt idx="652">
                  <c:v>152.55210604668156</c:v>
                </c:pt>
                <c:pt idx="653">
                  <c:v>152.44613805710003</c:v>
                </c:pt>
                <c:pt idx="654">
                  <c:v>152.34078675105204</c:v>
                </c:pt>
                <c:pt idx="655">
                  <c:v>152.23605212853761</c:v>
                </c:pt>
                <c:pt idx="656">
                  <c:v>152.13193418955674</c:v>
                </c:pt>
                <c:pt idx="657">
                  <c:v>152.02843293410945</c:v>
                </c:pt>
                <c:pt idx="658">
                  <c:v>151.92554836219571</c:v>
                </c:pt>
                <c:pt idx="659">
                  <c:v>151.82328047381554</c:v>
                </c:pt>
                <c:pt idx="660">
                  <c:v>151.72162926896891</c:v>
                </c:pt>
                <c:pt idx="661">
                  <c:v>151.62059474765587</c:v>
                </c:pt>
                <c:pt idx="662">
                  <c:v>151.52017690987637</c:v>
                </c:pt>
                <c:pt idx="663">
                  <c:v>151.42037575563043</c:v>
                </c:pt>
                <c:pt idx="664">
                  <c:v>151.32119128491803</c:v>
                </c:pt>
                <c:pt idx="665">
                  <c:v>151.22262349773922</c:v>
                </c:pt>
                <c:pt idx="666">
                  <c:v>151.1253570355945</c:v>
                </c:pt>
                <c:pt idx="667">
                  <c:v>151.029563058859</c:v>
                </c:pt>
                <c:pt idx="668">
                  <c:v>150.93524156753278</c:v>
                </c:pt>
                <c:pt idx="669">
                  <c:v>150.84239256161578</c:v>
                </c:pt>
                <c:pt idx="670">
                  <c:v>150.75101604110804</c:v>
                </c:pt>
                <c:pt idx="671">
                  <c:v>150.66111200600957</c:v>
                </c:pt>
                <c:pt idx="672">
                  <c:v>150.57268045632031</c:v>
                </c:pt>
                <c:pt idx="673">
                  <c:v>150.48572139204032</c:v>
                </c:pt>
                <c:pt idx="674">
                  <c:v>150.40023481316956</c:v>
                </c:pt>
                <c:pt idx="675">
                  <c:v>150.31622071970807</c:v>
                </c:pt>
                <c:pt idx="676">
                  <c:v>150.23367911165579</c:v>
                </c:pt>
                <c:pt idx="677">
                  <c:v>150.15260998901277</c:v>
                </c:pt>
                <c:pt idx="678">
                  <c:v>150.073013351779</c:v>
                </c:pt>
                <c:pt idx="679">
                  <c:v>149.99488919995446</c:v>
                </c:pt>
                <c:pt idx="680">
                  <c:v>149.91823753353918</c:v>
                </c:pt>
                <c:pt idx="681">
                  <c:v>149.84305835253315</c:v>
                </c:pt>
                <c:pt idx="682">
                  <c:v>149.76935165693635</c:v>
                </c:pt>
                <c:pt idx="683">
                  <c:v>149.69711744674882</c:v>
                </c:pt>
                <c:pt idx="684">
                  <c:v>149.62635572197053</c:v>
                </c:pt>
                <c:pt idx="685">
                  <c:v>149.55706648260147</c:v>
                </c:pt>
                <c:pt idx="686">
                  <c:v>149.48924972864165</c:v>
                </c:pt>
                <c:pt idx="687">
                  <c:v>149.4229054600911</c:v>
                </c:pt>
                <c:pt idx="688">
                  <c:v>149.35803367694979</c:v>
                </c:pt>
                <c:pt idx="689">
                  <c:v>149.29463437921771</c:v>
                </c:pt>
                <c:pt idx="690">
                  <c:v>149.23270756689487</c:v>
                </c:pt>
                <c:pt idx="691">
                  <c:v>149.1722532399813</c:v>
                </c:pt>
                <c:pt idx="692">
                  <c:v>149.11327139847697</c:v>
                </c:pt>
                <c:pt idx="693">
                  <c:v>149.0557620423819</c:v>
                </c:pt>
                <c:pt idx="694">
                  <c:v>148.99972517169607</c:v>
                </c:pt>
                <c:pt idx="695">
                  <c:v>148.94516078641948</c:v>
                </c:pt>
                <c:pt idx="696">
                  <c:v>148.89206888655212</c:v>
                </c:pt>
                <c:pt idx="697">
                  <c:v>148.84044947209401</c:v>
                </c:pt>
                <c:pt idx="698">
                  <c:v>148.79030254304516</c:v>
                </c:pt>
                <c:pt idx="699">
                  <c:v>148.74162809940555</c:v>
                </c:pt>
                <c:pt idx="700">
                  <c:v>148.6944261411752</c:v>
                </c:pt>
                <c:pt idx="701">
                  <c:v>148.64869666835406</c:v>
                </c:pt>
                <c:pt idx="702">
                  <c:v>148.60443968094219</c:v>
                </c:pt>
                <c:pt idx="703">
                  <c:v>148.56165517893956</c:v>
                </c:pt>
                <c:pt idx="704">
                  <c:v>148.52034316234619</c:v>
                </c:pt>
                <c:pt idx="705">
                  <c:v>148.48050363116207</c:v>
                </c:pt>
                <c:pt idx="706">
                  <c:v>148.44213658538717</c:v>
                </c:pt>
                <c:pt idx="707">
                  <c:v>148.40524202502149</c:v>
                </c:pt>
                <c:pt idx="708">
                  <c:v>148.36983819088468</c:v>
                </c:pt>
                <c:pt idx="709">
                  <c:v>148.33608925035287</c:v>
                </c:pt>
                <c:pt idx="710">
                  <c:v>148.30399520342607</c:v>
                </c:pt>
                <c:pt idx="711">
                  <c:v>148.27355605010425</c:v>
                </c:pt>
                <c:pt idx="712">
                  <c:v>148.24477179038746</c:v>
                </c:pt>
                <c:pt idx="713">
                  <c:v>148.21764242427568</c:v>
                </c:pt>
                <c:pt idx="714">
                  <c:v>148.19216795176894</c:v>
                </c:pt>
                <c:pt idx="715">
                  <c:v>148.1683483728672</c:v>
                </c:pt>
                <c:pt idx="716">
                  <c:v>148.14618368757044</c:v>
                </c:pt>
                <c:pt idx="717">
                  <c:v>148.12567389587869</c:v>
                </c:pt>
                <c:pt idx="718">
                  <c:v>148.10681899779198</c:v>
                </c:pt>
                <c:pt idx="719">
                  <c:v>148.08961899331027</c:v>
                </c:pt>
                <c:pt idx="720">
                  <c:v>148.07407388243357</c:v>
                </c:pt>
                <c:pt idx="721">
                  <c:v>148.0601836651619</c:v>
                </c:pt>
                <c:pt idx="722">
                  <c:v>148.04794834149521</c:v>
                </c:pt>
                <c:pt idx="723">
                  <c:v>148.03736791143353</c:v>
                </c:pt>
                <c:pt idx="724">
                  <c:v>148.02844237497689</c:v>
                </c:pt>
                <c:pt idx="725">
                  <c:v>148.02348422756805</c:v>
                </c:pt>
                <c:pt idx="726">
                  <c:v>148.02348422756805</c:v>
                </c:pt>
                <c:pt idx="727">
                  <c:v>148.02348422756805</c:v>
                </c:pt>
                <c:pt idx="728">
                  <c:v>148.02348422756805</c:v>
                </c:pt>
                <c:pt idx="729">
                  <c:v>148.02348422756805</c:v>
                </c:pt>
                <c:pt idx="730">
                  <c:v>148.02348422756805</c:v>
                </c:pt>
                <c:pt idx="731">
                  <c:v>148.02348422756805</c:v>
                </c:pt>
                <c:pt idx="732">
                  <c:v>148.02348422756805</c:v>
                </c:pt>
                <c:pt idx="733">
                  <c:v>148.02348422756805</c:v>
                </c:pt>
                <c:pt idx="734">
                  <c:v>148.02348422756805</c:v>
                </c:pt>
                <c:pt idx="735">
                  <c:v>148.02348422756805</c:v>
                </c:pt>
                <c:pt idx="736">
                  <c:v>148.02348422756805</c:v>
                </c:pt>
                <c:pt idx="737">
                  <c:v>148.02348422756805</c:v>
                </c:pt>
                <c:pt idx="738">
                  <c:v>148.02348422756805</c:v>
                </c:pt>
                <c:pt idx="739">
                  <c:v>148.02348422756805</c:v>
                </c:pt>
                <c:pt idx="740">
                  <c:v>148.02348422756805</c:v>
                </c:pt>
                <c:pt idx="741">
                  <c:v>148.02348422756805</c:v>
                </c:pt>
                <c:pt idx="742">
                  <c:v>148.02348422756805</c:v>
                </c:pt>
                <c:pt idx="743">
                  <c:v>148.02348422756805</c:v>
                </c:pt>
                <c:pt idx="744">
                  <c:v>148.02348422756805</c:v>
                </c:pt>
                <c:pt idx="745">
                  <c:v>148.02348422756805</c:v>
                </c:pt>
                <c:pt idx="746">
                  <c:v>148.02348422756805</c:v>
                </c:pt>
                <c:pt idx="747">
                  <c:v>148.02348422756805</c:v>
                </c:pt>
                <c:pt idx="748">
                  <c:v>148.02348422756805</c:v>
                </c:pt>
                <c:pt idx="749">
                  <c:v>148.02348422756805</c:v>
                </c:pt>
                <c:pt idx="750">
                  <c:v>148.02348422756805</c:v>
                </c:pt>
                <c:pt idx="751">
                  <c:v>148.02348422756805</c:v>
                </c:pt>
                <c:pt idx="752">
                  <c:v>148.02348422756805</c:v>
                </c:pt>
                <c:pt idx="753">
                  <c:v>148.02348422756805</c:v>
                </c:pt>
                <c:pt idx="754">
                  <c:v>148.02348422756805</c:v>
                </c:pt>
                <c:pt idx="755">
                  <c:v>148.02348422756805</c:v>
                </c:pt>
                <c:pt idx="756">
                  <c:v>148.02348422756805</c:v>
                </c:pt>
                <c:pt idx="757">
                  <c:v>148.02348422756805</c:v>
                </c:pt>
                <c:pt idx="758">
                  <c:v>148.02348422756805</c:v>
                </c:pt>
                <c:pt idx="759">
                  <c:v>148.02348422756805</c:v>
                </c:pt>
                <c:pt idx="760">
                  <c:v>148.02348422756805</c:v>
                </c:pt>
                <c:pt idx="761">
                  <c:v>148.02348422756805</c:v>
                </c:pt>
                <c:pt idx="762">
                  <c:v>148.02348422756805</c:v>
                </c:pt>
                <c:pt idx="763">
                  <c:v>148.02348422756805</c:v>
                </c:pt>
                <c:pt idx="764">
                  <c:v>148.02348422756805</c:v>
                </c:pt>
                <c:pt idx="765">
                  <c:v>148.02348422756805</c:v>
                </c:pt>
                <c:pt idx="766">
                  <c:v>148.02348422756805</c:v>
                </c:pt>
                <c:pt idx="767">
                  <c:v>148.02348422756805</c:v>
                </c:pt>
                <c:pt idx="768">
                  <c:v>148.02348422756805</c:v>
                </c:pt>
                <c:pt idx="769">
                  <c:v>148.02348422756805</c:v>
                </c:pt>
                <c:pt idx="770">
                  <c:v>148.02348422756805</c:v>
                </c:pt>
                <c:pt idx="771">
                  <c:v>148.02348422756805</c:v>
                </c:pt>
                <c:pt idx="772">
                  <c:v>148.02348422756805</c:v>
                </c:pt>
                <c:pt idx="773">
                  <c:v>148.02348422756805</c:v>
                </c:pt>
                <c:pt idx="774">
                  <c:v>148.02348422756805</c:v>
                </c:pt>
                <c:pt idx="775">
                  <c:v>148.02348422756805</c:v>
                </c:pt>
                <c:pt idx="776">
                  <c:v>148.02348422756805</c:v>
                </c:pt>
                <c:pt idx="777">
                  <c:v>148.02348422756805</c:v>
                </c:pt>
                <c:pt idx="778">
                  <c:v>148.02348422756805</c:v>
                </c:pt>
                <c:pt idx="779">
                  <c:v>148.02348422756805</c:v>
                </c:pt>
                <c:pt idx="780">
                  <c:v>148.02348422756805</c:v>
                </c:pt>
                <c:pt idx="781">
                  <c:v>148.02348422756805</c:v>
                </c:pt>
                <c:pt idx="782">
                  <c:v>148.02348422756805</c:v>
                </c:pt>
                <c:pt idx="783">
                  <c:v>148.02348422756805</c:v>
                </c:pt>
                <c:pt idx="784">
                  <c:v>148.02348422756805</c:v>
                </c:pt>
                <c:pt idx="785">
                  <c:v>148.02348422756805</c:v>
                </c:pt>
                <c:pt idx="786">
                  <c:v>148.02348422756805</c:v>
                </c:pt>
                <c:pt idx="787">
                  <c:v>148.02348422756805</c:v>
                </c:pt>
                <c:pt idx="788">
                  <c:v>148.02348422756805</c:v>
                </c:pt>
                <c:pt idx="789">
                  <c:v>148.02348422756805</c:v>
                </c:pt>
                <c:pt idx="790">
                  <c:v>148.02348422756805</c:v>
                </c:pt>
                <c:pt idx="791">
                  <c:v>148.02348422756805</c:v>
                </c:pt>
                <c:pt idx="792">
                  <c:v>148.02348422756805</c:v>
                </c:pt>
                <c:pt idx="793">
                  <c:v>148.02348422756805</c:v>
                </c:pt>
                <c:pt idx="794">
                  <c:v>148.02348422756805</c:v>
                </c:pt>
                <c:pt idx="795">
                  <c:v>148.02348422756805</c:v>
                </c:pt>
                <c:pt idx="796">
                  <c:v>148.02348422756805</c:v>
                </c:pt>
                <c:pt idx="797">
                  <c:v>148.02348422756805</c:v>
                </c:pt>
                <c:pt idx="798">
                  <c:v>148.02348422756805</c:v>
                </c:pt>
                <c:pt idx="799">
                  <c:v>148.02348422756805</c:v>
                </c:pt>
                <c:pt idx="800">
                  <c:v>148.02348422756805</c:v>
                </c:pt>
                <c:pt idx="801">
                  <c:v>148.02348422756805</c:v>
                </c:pt>
                <c:pt idx="802">
                  <c:v>148.02348422756805</c:v>
                </c:pt>
                <c:pt idx="803">
                  <c:v>148.02348422756805</c:v>
                </c:pt>
                <c:pt idx="804">
                  <c:v>148.02348422756805</c:v>
                </c:pt>
                <c:pt idx="805">
                  <c:v>148.02348422756805</c:v>
                </c:pt>
                <c:pt idx="806">
                  <c:v>148.02348422756805</c:v>
                </c:pt>
                <c:pt idx="807">
                  <c:v>148.02348422756805</c:v>
                </c:pt>
                <c:pt idx="808">
                  <c:v>148.02348422756805</c:v>
                </c:pt>
                <c:pt idx="809">
                  <c:v>148.02348422756805</c:v>
                </c:pt>
                <c:pt idx="810">
                  <c:v>148.02348422756805</c:v>
                </c:pt>
                <c:pt idx="811">
                  <c:v>148.02348422756805</c:v>
                </c:pt>
                <c:pt idx="812">
                  <c:v>148.02348422756805</c:v>
                </c:pt>
                <c:pt idx="813">
                  <c:v>148.02348422756805</c:v>
                </c:pt>
                <c:pt idx="814">
                  <c:v>148.02348422756805</c:v>
                </c:pt>
                <c:pt idx="815">
                  <c:v>148.02348422756805</c:v>
                </c:pt>
                <c:pt idx="816">
                  <c:v>148.02348422756805</c:v>
                </c:pt>
                <c:pt idx="817">
                  <c:v>148.02348422756805</c:v>
                </c:pt>
                <c:pt idx="818">
                  <c:v>148.02348422756805</c:v>
                </c:pt>
                <c:pt idx="819">
                  <c:v>148.02348422756805</c:v>
                </c:pt>
                <c:pt idx="820">
                  <c:v>148.02348422756805</c:v>
                </c:pt>
                <c:pt idx="821">
                  <c:v>148.02348422756805</c:v>
                </c:pt>
                <c:pt idx="822">
                  <c:v>148.02348422756805</c:v>
                </c:pt>
                <c:pt idx="823">
                  <c:v>148.02348422756805</c:v>
                </c:pt>
                <c:pt idx="824">
                  <c:v>148.02348422756805</c:v>
                </c:pt>
                <c:pt idx="825">
                  <c:v>148.02348422756805</c:v>
                </c:pt>
                <c:pt idx="826">
                  <c:v>148.02348422756805</c:v>
                </c:pt>
                <c:pt idx="827">
                  <c:v>148.02348422756805</c:v>
                </c:pt>
                <c:pt idx="828">
                  <c:v>148.02348422756805</c:v>
                </c:pt>
                <c:pt idx="829">
                  <c:v>148.02348422756805</c:v>
                </c:pt>
                <c:pt idx="830">
                  <c:v>148.02348422756805</c:v>
                </c:pt>
                <c:pt idx="831">
                  <c:v>148.02348422756805</c:v>
                </c:pt>
                <c:pt idx="832">
                  <c:v>148.02348422756805</c:v>
                </c:pt>
                <c:pt idx="833">
                  <c:v>148.02348422756805</c:v>
                </c:pt>
                <c:pt idx="834">
                  <c:v>148.02348422756805</c:v>
                </c:pt>
                <c:pt idx="835">
                  <c:v>148.02348422756805</c:v>
                </c:pt>
                <c:pt idx="836">
                  <c:v>148.02348422756805</c:v>
                </c:pt>
                <c:pt idx="837">
                  <c:v>148.02348422756805</c:v>
                </c:pt>
                <c:pt idx="838">
                  <c:v>148.02348422756805</c:v>
                </c:pt>
                <c:pt idx="839">
                  <c:v>148.02348422756805</c:v>
                </c:pt>
                <c:pt idx="840">
                  <c:v>148.02348422756805</c:v>
                </c:pt>
                <c:pt idx="841">
                  <c:v>148.02348422756805</c:v>
                </c:pt>
                <c:pt idx="842">
                  <c:v>148.02348422756805</c:v>
                </c:pt>
                <c:pt idx="843">
                  <c:v>148.02348422756805</c:v>
                </c:pt>
                <c:pt idx="844">
                  <c:v>148.02348422756805</c:v>
                </c:pt>
                <c:pt idx="845">
                  <c:v>148.02348422756805</c:v>
                </c:pt>
                <c:pt idx="846">
                  <c:v>148.02348422756805</c:v>
                </c:pt>
                <c:pt idx="847">
                  <c:v>148.02348422756805</c:v>
                </c:pt>
                <c:pt idx="848">
                  <c:v>148.02348422756805</c:v>
                </c:pt>
                <c:pt idx="849">
                  <c:v>148.02348422756805</c:v>
                </c:pt>
                <c:pt idx="850">
                  <c:v>148.02348422756805</c:v>
                </c:pt>
                <c:pt idx="851">
                  <c:v>148.02348422756805</c:v>
                </c:pt>
                <c:pt idx="852">
                  <c:v>148.02348422756805</c:v>
                </c:pt>
                <c:pt idx="853">
                  <c:v>148.02348422756805</c:v>
                </c:pt>
                <c:pt idx="854">
                  <c:v>148.02348422756805</c:v>
                </c:pt>
                <c:pt idx="855">
                  <c:v>148.02348422756805</c:v>
                </c:pt>
                <c:pt idx="856">
                  <c:v>148.02348422756805</c:v>
                </c:pt>
                <c:pt idx="857">
                  <c:v>148.02348422756805</c:v>
                </c:pt>
                <c:pt idx="858">
                  <c:v>148.02348422756805</c:v>
                </c:pt>
                <c:pt idx="859">
                  <c:v>148.02348422756805</c:v>
                </c:pt>
                <c:pt idx="860">
                  <c:v>148.02348422756805</c:v>
                </c:pt>
                <c:pt idx="861">
                  <c:v>148.02348422756805</c:v>
                </c:pt>
                <c:pt idx="862">
                  <c:v>148.02348422756805</c:v>
                </c:pt>
                <c:pt idx="863">
                  <c:v>148.02348422756805</c:v>
                </c:pt>
                <c:pt idx="864">
                  <c:v>148.02348422756805</c:v>
                </c:pt>
                <c:pt idx="865">
                  <c:v>148.02348422756805</c:v>
                </c:pt>
                <c:pt idx="866">
                  <c:v>148.02348422756805</c:v>
                </c:pt>
                <c:pt idx="867">
                  <c:v>148.02348422756805</c:v>
                </c:pt>
                <c:pt idx="868">
                  <c:v>148.02348422756805</c:v>
                </c:pt>
                <c:pt idx="869">
                  <c:v>148.02348422756805</c:v>
                </c:pt>
                <c:pt idx="870">
                  <c:v>148.02348422756805</c:v>
                </c:pt>
                <c:pt idx="871">
                  <c:v>148.02348422756805</c:v>
                </c:pt>
                <c:pt idx="872">
                  <c:v>148.02348422756805</c:v>
                </c:pt>
                <c:pt idx="873">
                  <c:v>148.02348422756805</c:v>
                </c:pt>
                <c:pt idx="874">
                  <c:v>148.02348422756805</c:v>
                </c:pt>
                <c:pt idx="875">
                  <c:v>148.02348422756805</c:v>
                </c:pt>
                <c:pt idx="876">
                  <c:v>148.02348422756805</c:v>
                </c:pt>
                <c:pt idx="877">
                  <c:v>148.02348422756805</c:v>
                </c:pt>
                <c:pt idx="878">
                  <c:v>148.02348422756805</c:v>
                </c:pt>
                <c:pt idx="879">
                  <c:v>148.02348422756805</c:v>
                </c:pt>
                <c:pt idx="880">
                  <c:v>148.02348422756805</c:v>
                </c:pt>
                <c:pt idx="881">
                  <c:v>148.02348422756805</c:v>
                </c:pt>
                <c:pt idx="882">
                  <c:v>148.02348422756805</c:v>
                </c:pt>
                <c:pt idx="883">
                  <c:v>148.02348422756805</c:v>
                </c:pt>
                <c:pt idx="884">
                  <c:v>148.02348422756805</c:v>
                </c:pt>
                <c:pt idx="885">
                  <c:v>148.02348422756805</c:v>
                </c:pt>
                <c:pt idx="886">
                  <c:v>148.02348422756805</c:v>
                </c:pt>
                <c:pt idx="887">
                  <c:v>148.02348422756805</c:v>
                </c:pt>
                <c:pt idx="888">
                  <c:v>148.02348422756805</c:v>
                </c:pt>
                <c:pt idx="889">
                  <c:v>148.02348422756805</c:v>
                </c:pt>
                <c:pt idx="890">
                  <c:v>148.02348422756805</c:v>
                </c:pt>
                <c:pt idx="891">
                  <c:v>148.02348422756805</c:v>
                </c:pt>
                <c:pt idx="892">
                  <c:v>148.02348422756805</c:v>
                </c:pt>
                <c:pt idx="893">
                  <c:v>148.02348422756805</c:v>
                </c:pt>
                <c:pt idx="894">
                  <c:v>148.02348422756805</c:v>
                </c:pt>
                <c:pt idx="895">
                  <c:v>148.02348422756805</c:v>
                </c:pt>
                <c:pt idx="896">
                  <c:v>148.02348422756805</c:v>
                </c:pt>
                <c:pt idx="897">
                  <c:v>148.02348422756805</c:v>
                </c:pt>
                <c:pt idx="898">
                  <c:v>148.02348422756805</c:v>
                </c:pt>
                <c:pt idx="899">
                  <c:v>148.02348422756805</c:v>
                </c:pt>
                <c:pt idx="900">
                  <c:v>148.02348422756805</c:v>
                </c:pt>
                <c:pt idx="901">
                  <c:v>148.02348422756805</c:v>
                </c:pt>
                <c:pt idx="902">
                  <c:v>148.02348422756805</c:v>
                </c:pt>
                <c:pt idx="903">
                  <c:v>148.02348422756805</c:v>
                </c:pt>
                <c:pt idx="904">
                  <c:v>148.02348422756805</c:v>
                </c:pt>
                <c:pt idx="905">
                  <c:v>148.02348422756805</c:v>
                </c:pt>
                <c:pt idx="906">
                  <c:v>148.02348422756805</c:v>
                </c:pt>
                <c:pt idx="907">
                  <c:v>148.02348422756805</c:v>
                </c:pt>
                <c:pt idx="908">
                  <c:v>148.02348422756805</c:v>
                </c:pt>
                <c:pt idx="909">
                  <c:v>148.02348422756805</c:v>
                </c:pt>
                <c:pt idx="910">
                  <c:v>148.02348422756805</c:v>
                </c:pt>
                <c:pt idx="911">
                  <c:v>148.02348422756805</c:v>
                </c:pt>
                <c:pt idx="912">
                  <c:v>148.02348422756805</c:v>
                </c:pt>
                <c:pt idx="913">
                  <c:v>148.02348422756805</c:v>
                </c:pt>
                <c:pt idx="914">
                  <c:v>148.02348422756805</c:v>
                </c:pt>
                <c:pt idx="915">
                  <c:v>148.02348422756805</c:v>
                </c:pt>
                <c:pt idx="916">
                  <c:v>148.02348422756805</c:v>
                </c:pt>
                <c:pt idx="917">
                  <c:v>148.02348422756805</c:v>
                </c:pt>
                <c:pt idx="918">
                  <c:v>148.02348422756805</c:v>
                </c:pt>
                <c:pt idx="919">
                  <c:v>148.02348422756805</c:v>
                </c:pt>
                <c:pt idx="920">
                  <c:v>148.02348422756805</c:v>
                </c:pt>
                <c:pt idx="921">
                  <c:v>148.02348422756805</c:v>
                </c:pt>
                <c:pt idx="922">
                  <c:v>148.02348422756805</c:v>
                </c:pt>
                <c:pt idx="923">
                  <c:v>148.02348422756805</c:v>
                </c:pt>
                <c:pt idx="924">
                  <c:v>148.02348422756805</c:v>
                </c:pt>
                <c:pt idx="925">
                  <c:v>148.02348422756805</c:v>
                </c:pt>
                <c:pt idx="926">
                  <c:v>148.02348422756805</c:v>
                </c:pt>
                <c:pt idx="927">
                  <c:v>148.02348422756805</c:v>
                </c:pt>
                <c:pt idx="928">
                  <c:v>148.02348422756805</c:v>
                </c:pt>
                <c:pt idx="929">
                  <c:v>148.02348422756805</c:v>
                </c:pt>
                <c:pt idx="930">
                  <c:v>148.02348422756805</c:v>
                </c:pt>
                <c:pt idx="931">
                  <c:v>148.02348422756805</c:v>
                </c:pt>
                <c:pt idx="932">
                  <c:v>148.02348422756805</c:v>
                </c:pt>
                <c:pt idx="933">
                  <c:v>148.02348422756805</c:v>
                </c:pt>
                <c:pt idx="934">
                  <c:v>148.02348422756805</c:v>
                </c:pt>
                <c:pt idx="935">
                  <c:v>148.02348422756805</c:v>
                </c:pt>
                <c:pt idx="936">
                  <c:v>148.02348422756805</c:v>
                </c:pt>
                <c:pt idx="937">
                  <c:v>148.02348422756805</c:v>
                </c:pt>
                <c:pt idx="938">
                  <c:v>148.02348422756805</c:v>
                </c:pt>
                <c:pt idx="939">
                  <c:v>148.02348422756805</c:v>
                </c:pt>
                <c:pt idx="940">
                  <c:v>148.02348422756805</c:v>
                </c:pt>
                <c:pt idx="941">
                  <c:v>148.02348422756805</c:v>
                </c:pt>
                <c:pt idx="942">
                  <c:v>148.02348422756805</c:v>
                </c:pt>
                <c:pt idx="943">
                  <c:v>148.02348422756805</c:v>
                </c:pt>
                <c:pt idx="944">
                  <c:v>148.02348422756805</c:v>
                </c:pt>
                <c:pt idx="945">
                  <c:v>148.02348422756805</c:v>
                </c:pt>
                <c:pt idx="946">
                  <c:v>148.02348422756805</c:v>
                </c:pt>
                <c:pt idx="947">
                  <c:v>148.02348422756805</c:v>
                </c:pt>
                <c:pt idx="948">
                  <c:v>148.02348422756805</c:v>
                </c:pt>
                <c:pt idx="949">
                  <c:v>148.02348422756805</c:v>
                </c:pt>
                <c:pt idx="950">
                  <c:v>148.02348422756805</c:v>
                </c:pt>
                <c:pt idx="951">
                  <c:v>148.02348422756805</c:v>
                </c:pt>
                <c:pt idx="952">
                  <c:v>148.02348422756805</c:v>
                </c:pt>
                <c:pt idx="953">
                  <c:v>148.02348422756805</c:v>
                </c:pt>
                <c:pt idx="954">
                  <c:v>148.02348422756805</c:v>
                </c:pt>
                <c:pt idx="955">
                  <c:v>148.02348422756805</c:v>
                </c:pt>
                <c:pt idx="956">
                  <c:v>148.02348422756805</c:v>
                </c:pt>
                <c:pt idx="957">
                  <c:v>148.02348422756805</c:v>
                </c:pt>
                <c:pt idx="958">
                  <c:v>148.02348422756805</c:v>
                </c:pt>
                <c:pt idx="959">
                  <c:v>148.02348422756805</c:v>
                </c:pt>
                <c:pt idx="960">
                  <c:v>148.02348422756805</c:v>
                </c:pt>
                <c:pt idx="961">
                  <c:v>148.02348422756805</c:v>
                </c:pt>
                <c:pt idx="962">
                  <c:v>148.02348422756805</c:v>
                </c:pt>
                <c:pt idx="963">
                  <c:v>148.02348422756805</c:v>
                </c:pt>
                <c:pt idx="964">
                  <c:v>148.02348422756805</c:v>
                </c:pt>
                <c:pt idx="965">
                  <c:v>148.02348422756805</c:v>
                </c:pt>
                <c:pt idx="966">
                  <c:v>148.02348422756805</c:v>
                </c:pt>
                <c:pt idx="967">
                  <c:v>148.02348422756805</c:v>
                </c:pt>
                <c:pt idx="968">
                  <c:v>148.02348422756805</c:v>
                </c:pt>
                <c:pt idx="969">
                  <c:v>148.02348422756805</c:v>
                </c:pt>
                <c:pt idx="970">
                  <c:v>148.02348422756805</c:v>
                </c:pt>
                <c:pt idx="971">
                  <c:v>148.02348422756805</c:v>
                </c:pt>
                <c:pt idx="972">
                  <c:v>148.02348422756805</c:v>
                </c:pt>
                <c:pt idx="973">
                  <c:v>148.02348422756805</c:v>
                </c:pt>
                <c:pt idx="974">
                  <c:v>148.02348422756805</c:v>
                </c:pt>
                <c:pt idx="975">
                  <c:v>148.02348422756805</c:v>
                </c:pt>
                <c:pt idx="976">
                  <c:v>148.02348422756805</c:v>
                </c:pt>
                <c:pt idx="977">
                  <c:v>148.02348422756805</c:v>
                </c:pt>
                <c:pt idx="978">
                  <c:v>148.02348422756805</c:v>
                </c:pt>
                <c:pt idx="979">
                  <c:v>148.02348422756805</c:v>
                </c:pt>
                <c:pt idx="980">
                  <c:v>148.02348422756805</c:v>
                </c:pt>
                <c:pt idx="981">
                  <c:v>148.02348422756805</c:v>
                </c:pt>
                <c:pt idx="982">
                  <c:v>148.02348422756805</c:v>
                </c:pt>
                <c:pt idx="983">
                  <c:v>148.02348422756805</c:v>
                </c:pt>
                <c:pt idx="984">
                  <c:v>148.02348422756805</c:v>
                </c:pt>
                <c:pt idx="985">
                  <c:v>148.02348422756805</c:v>
                </c:pt>
                <c:pt idx="986">
                  <c:v>148.02348422756805</c:v>
                </c:pt>
                <c:pt idx="987">
                  <c:v>148.02348422756805</c:v>
                </c:pt>
                <c:pt idx="988">
                  <c:v>148.02348422756805</c:v>
                </c:pt>
                <c:pt idx="989">
                  <c:v>148.02348422756805</c:v>
                </c:pt>
                <c:pt idx="990">
                  <c:v>148.02348422756805</c:v>
                </c:pt>
                <c:pt idx="991">
                  <c:v>148.02348422756805</c:v>
                </c:pt>
                <c:pt idx="992">
                  <c:v>148.02348422756805</c:v>
                </c:pt>
                <c:pt idx="993">
                  <c:v>148.02348422756805</c:v>
                </c:pt>
                <c:pt idx="994">
                  <c:v>148.02348422756805</c:v>
                </c:pt>
                <c:pt idx="995">
                  <c:v>148.02348422756805</c:v>
                </c:pt>
                <c:pt idx="996">
                  <c:v>148.02348422756805</c:v>
                </c:pt>
                <c:pt idx="997">
                  <c:v>148.02348422756805</c:v>
                </c:pt>
                <c:pt idx="998">
                  <c:v>148.02348422756805</c:v>
                </c:pt>
                <c:pt idx="999">
                  <c:v>148.02348422756805</c:v>
                </c:pt>
                <c:pt idx="1000">
                  <c:v>148.02348422756805</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Calculs!$W$4:$W$1004</c:f>
              <c:numCache>
                <c:formatCode>0.00</c:formatCode>
                <c:ptCount val="1001"/>
                <c:pt idx="0">
                  <c:v>0</c:v>
                </c:pt>
                <c:pt idx="1">
                  <c:v>0</c:v>
                </c:pt>
                <c:pt idx="2">
                  <c:v>1.1028725609825616E-4</c:v>
                </c:pt>
                <c:pt idx="3">
                  <c:v>1.1122088342171829E-3</c:v>
                </c:pt>
                <c:pt idx="4">
                  <c:v>4.6995460286485208E-3</c:v>
                </c:pt>
                <c:pt idx="5">
                  <c:v>1.240148116063826E-2</c:v>
                </c:pt>
                <c:pt idx="6">
                  <c:v>2.4655262923803527E-2</c:v>
                </c:pt>
                <c:pt idx="7">
                  <c:v>4.2242730436468243E-2</c:v>
                </c:pt>
                <c:pt idx="8">
                  <c:v>6.599578362793207E-2</c:v>
                </c:pt>
                <c:pt idx="9">
                  <c:v>9.5991967468275569E-2</c:v>
                </c:pt>
                <c:pt idx="10">
                  <c:v>0.13178603650083529</c:v>
                </c:pt>
                <c:pt idx="11">
                  <c:v>0.17346376128164467</c:v>
                </c:pt>
                <c:pt idx="12">
                  <c:v>0.22111137818685256</c:v>
                </c:pt>
                <c:pt idx="13">
                  <c:v>0.27481558857822141</c:v>
                </c:pt>
                <c:pt idx="14">
                  <c:v>0.33466355793528241</c:v>
                </c:pt>
                <c:pt idx="15">
                  <c:v>0.40074291495385883</c:v>
                </c:pt>
                <c:pt idx="16">
                  <c:v>0.47314175061067021</c:v>
                </c:pt>
                <c:pt idx="17">
                  <c:v>0.55194861719372523</c:v>
                </c:pt>
                <c:pt idx="18">
                  <c:v>0.63725252729821924</c:v>
                </c:pt>
                <c:pt idx="19">
                  <c:v>0.72914295278764563</c:v>
                </c:pt>
                <c:pt idx="20">
                  <c:v>0.82770982371983959</c:v>
                </c:pt>
                <c:pt idx="21">
                  <c:v>0.93286828397966881</c:v>
                </c:pt>
                <c:pt idx="22">
                  <c:v>1.0444000097087913</c:v>
                </c:pt>
                <c:pt idx="23">
                  <c:v>1.1623187526316516</c:v>
                </c:pt>
                <c:pt idx="24">
                  <c:v>1.2866381668371523</c:v>
                </c:pt>
                <c:pt idx="25">
                  <c:v>1.4173718081031412</c:v>
                </c:pt>
                <c:pt idx="26">
                  <c:v>1.5545331332230328</c:v>
                </c:pt>
                <c:pt idx="27">
                  <c:v>1.6981354993345872</c:v>
                </c:pt>
                <c:pt idx="28">
                  <c:v>1.8481921632509177</c:v>
                </c:pt>
                <c:pt idx="29">
                  <c:v>2.0047162807937644</c:v>
                </c:pt>
                <c:pt idx="30">
                  <c:v>2.1677209061290745</c:v>
                </c:pt>
                <c:pt idx="31">
                  <c:v>2.3372189911049435</c:v>
                </c:pt>
                <c:pt idx="32">
                  <c:v>2.5132233845919689</c:v>
                </c:pt>
                <c:pt idx="33">
                  <c:v>2.6957468318260518</c:v>
                </c:pt>
                <c:pt idx="34">
                  <c:v>2.884801973753703</c:v>
                </c:pt>
                <c:pt idx="35">
                  <c:v>3.0804013463798956</c:v>
                </c:pt>
                <c:pt idx="36">
                  <c:v>3.2825573801185062</c:v>
                </c:pt>
                <c:pt idx="37">
                  <c:v>3.4912823991454145</c:v>
                </c:pt>
                <c:pt idx="38">
                  <c:v>3.7065886207542738</c:v>
                </c:pt>
                <c:pt idx="39">
                  <c:v>3.9284881547150317</c:v>
                </c:pt>
                <c:pt idx="40">
                  <c:v>4.1569974679585675</c:v>
                </c:pt>
                <c:pt idx="41">
                  <c:v>4.3921336513873221</c:v>
                </c:pt>
                <c:pt idx="42">
                  <c:v>4.6339090709592474</c:v>
                </c:pt>
                <c:pt idx="43">
                  <c:v>4.8823359724905799</c:v>
                </c:pt>
                <c:pt idx="44">
                  <c:v>5.1374264814337289</c:v>
                </c:pt>
                <c:pt idx="45">
                  <c:v>5.3991926026724215</c:v>
                </c:pt>
                <c:pt idx="46">
                  <c:v>5.6677420898270174</c:v>
                </c:pt>
                <c:pt idx="47">
                  <c:v>5.9431182752396019</c:v>
                </c:pt>
                <c:pt idx="48">
                  <c:v>6.2253415947579853</c:v>
                </c:pt>
                <c:pt idx="49">
                  <c:v>6.5144323893463749</c:v>
                </c:pt>
                <c:pt idx="50">
                  <c:v>6.810410904476023</c:v>
                </c:pt>
                <c:pt idx="51">
                  <c:v>7.1132972894992239</c:v>
                </c:pt>
                <c:pt idx="52">
                  <c:v>7.4231115970080888</c:v>
                </c:pt>
                <c:pt idx="53">
                  <c:v>7.7398737821794121</c:v>
                </c:pt>
                <c:pt idx="54">
                  <c:v>8.0636037021067892</c:v>
                </c:pt>
                <c:pt idx="55">
                  <c:v>8.3943211151210129</c:v>
                </c:pt>
                <c:pt idx="56">
                  <c:v>8.7320456800997341</c:v>
                </c:pt>
                <c:pt idx="57">
                  <c:v>9.0767969557673052</c:v>
                </c:pt>
                <c:pt idx="58">
                  <c:v>9.4285943999856059</c:v>
                </c:pt>
                <c:pt idx="59">
                  <c:v>9.7874573690365523</c:v>
                </c:pt>
                <c:pt idx="60">
                  <c:v>10.153405116897053</c:v>
                </c:pt>
                <c:pt idx="61">
                  <c:v>10.526456794506984</c:v>
                </c:pt>
                <c:pt idx="62">
                  <c:v>10.906631449030852</c:v>
                </c:pt>
                <c:pt idx="63">
                  <c:v>11.293948023113604</c:v>
                </c:pt>
                <c:pt idx="64">
                  <c:v>11.68842535413113</c:v>
                </c:pt>
                <c:pt idx="65">
                  <c:v>12.090082173435965</c:v>
                </c:pt>
                <c:pt idx="66">
                  <c:v>12.498937105598575</c:v>
                </c:pt>
                <c:pt idx="67">
                  <c:v>12.915008667644679</c:v>
                </c:pt>
                <c:pt idx="68">
                  <c:v>13.338315268288973</c:v>
                </c:pt>
                <c:pt idx="69">
                  <c:v>13.771194726390979</c:v>
                </c:pt>
                <c:pt idx="70">
                  <c:v>14.214788587159534</c:v>
                </c:pt>
                <c:pt idx="71">
                  <c:v>14.669277867990141</c:v>
                </c:pt>
                <c:pt idx="72">
                  <c:v>15.134845196441789</c:v>
                </c:pt>
                <c:pt idx="73">
                  <c:v>15.611674810388795</c:v>
                </c:pt>
                <c:pt idx="74">
                  <c:v>16.099952558082979</c:v>
                </c:pt>
                <c:pt idx="75">
                  <c:v>16.599865898124431</c:v>
                </c:pt>
                <c:pt idx="76">
                  <c:v>17.111603899339102</c:v>
                </c:pt>
                <c:pt idx="77">
                  <c:v>17.630516302381341</c:v>
                </c:pt>
                <c:pt idx="78">
                  <c:v>18.154466646380083</c:v>
                </c:pt>
                <c:pt idx="79">
                  <c:v>18.683330433412312</c:v>
                </c:pt>
                <c:pt idx="80">
                  <c:v>19.216983487991598</c:v>
                </c:pt>
                <c:pt idx="81">
                  <c:v>19.755301966079763</c:v>
                </c:pt>
                <c:pt idx="82">
                  <c:v>20.298162364032233</c:v>
                </c:pt>
                <c:pt idx="83">
                  <c:v>20.845441527476748</c:v>
                </c:pt>
                <c:pt idx="84">
                  <c:v>21.397016660124898</c:v>
                </c:pt>
                <c:pt idx="85">
                  <c:v>21.952765332516137</c:v>
                </c:pt>
                <c:pt idx="86">
                  <c:v>22.513307640432551</c:v>
                </c:pt>
                <c:pt idx="87">
                  <c:v>23.081557528300849</c:v>
                </c:pt>
                <c:pt idx="88">
                  <c:v>23.65753621715265</c:v>
                </c:pt>
                <c:pt idx="89">
                  <c:v>24.241264817803373</c:v>
                </c:pt>
                <c:pt idx="90">
                  <c:v>24.832764329889685</c:v>
                </c:pt>
                <c:pt idx="91">
                  <c:v>25.43205564090708</c:v>
                </c:pt>
                <c:pt idx="92">
                  <c:v>26.039159525247353</c:v>
                </c:pt>
                <c:pt idx="93">
                  <c:v>26.654096643236379</c:v>
                </c:pt>
                <c:pt idx="94">
                  <c:v>27.276887540172293</c:v>
                </c:pt>
                <c:pt idx="95">
                  <c:v>27.907552645364007</c:v>
                </c:pt>
                <c:pt idx="96">
                  <c:v>28.546112271170362</c:v>
                </c:pt>
                <c:pt idx="97">
                  <c:v>29.192586612039968</c:v>
                </c:pt>
                <c:pt idx="98">
                  <c:v>29.846995743551901</c:v>
                </c:pt>
                <c:pt idx="99">
                  <c:v>30.509359621457229</c:v>
                </c:pt>
                <c:pt idx="100">
                  <c:v>31.17969808072165</c:v>
                </c:pt>
                <c:pt idx="101">
                  <c:v>31.858030834569156</c:v>
                </c:pt>
                <c:pt idx="102">
                  <c:v>32.544377473527184</c:v>
                </c:pt>
                <c:pt idx="103">
                  <c:v>33.238757464472805</c:v>
                </c:pt>
                <c:pt idx="104">
                  <c:v>33.941190149680587</c:v>
                </c:pt>
                <c:pt idx="105">
                  <c:v>34.651694745871971</c:v>
                </c:pt>
                <c:pt idx="106">
                  <c:v>35.370290343266262</c:v>
                </c:pt>
                <c:pt idx="107">
                  <c:v>36.096995904633381</c:v>
                </c:pt>
                <c:pt idx="108">
                  <c:v>36.831830264348554</c:v>
                </c:pt>
                <c:pt idx="109">
                  <c:v>37.574812127448844</c:v>
                </c:pt>
                <c:pt idx="110">
                  <c:v>38.325960068691806</c:v>
                </c:pt>
                <c:pt idx="111">
                  <c:v>39.085292531616311</c:v>
                </c:pt>
                <c:pt idx="112">
                  <c:v>39.852827827605438</c:v>
                </c:pt>
                <c:pt idx="113">
                  <c:v>40.628584134952014</c:v>
                </c:pt>
                <c:pt idx="114">
                  <c:v>41.412579497926245</c:v>
                </c:pt>
                <c:pt idx="115">
                  <c:v>42.204831825846107</c:v>
                </c:pt>
                <c:pt idx="116">
                  <c:v>43.005358892150163</c:v>
                </c:pt>
                <c:pt idx="117">
                  <c:v>43.814178333473237</c:v>
                </c:pt>
                <c:pt idx="118">
                  <c:v>44.6313076487248</c:v>
                </c:pt>
                <c:pt idx="119">
                  <c:v>45.456764198170163</c:v>
                </c:pt>
                <c:pt idx="120">
                  <c:v>46.290565202514813</c:v>
                </c:pt>
                <c:pt idx="121">
                  <c:v>47.132727741991651</c:v>
                </c:pt>
                <c:pt idx="122">
                  <c:v>47.983268755451469</c:v>
                </c:pt>
                <c:pt idx="123">
                  <c:v>48.842205039456353</c:v>
                </c:pt>
                <c:pt idx="124">
                  <c:v>49.709553247377009</c:v>
                </c:pt>
                <c:pt idx="125">
                  <c:v>50.585329888492858</c:v>
                </c:pt>
                <c:pt idx="126">
                  <c:v>51.469551327095935</c:v>
                </c:pt>
                <c:pt idx="127">
                  <c:v>52.362233781598277</c:v>
                </c:pt>
                <c:pt idx="128">
                  <c:v>53.263393323643008</c:v>
                </c:pt>
                <c:pt idx="129">
                  <c:v>54.17304587721906</c:v>
                </c:pt>
                <c:pt idx="130">
                  <c:v>55.091207217779726</c:v>
                </c:pt>
                <c:pt idx="131">
                  <c:v>56.017892971365264</c:v>
                </c:pt>
                <c:pt idx="132">
                  <c:v>56.953118613729238</c:v>
                </c:pt>
                <c:pt idx="133">
                  <c:v>57.896899469469048</c:v>
                </c:pt>
                <c:pt idx="134">
                  <c:v>58.849250711160664</c:v>
                </c:pt>
                <c:pt idx="135">
                  <c:v>59.810187358497387</c:v>
                </c:pt>
                <c:pt idx="136">
                  <c:v>60.779724277433118</c:v>
                </c:pt>
                <c:pt idx="137">
                  <c:v>61.75787617932982</c:v>
                </c:pt>
                <c:pt idx="138">
                  <c:v>62.744657620109564</c:v>
                </c:pt>
                <c:pt idx="139">
                  <c:v>63.740082999411115</c:v>
                </c:pt>
                <c:pt idx="140">
                  <c:v>64.744166559751065</c:v>
                </c:pt>
                <c:pt idx="141">
                  <c:v>65.756922385689606</c:v>
                </c:pt>
                <c:pt idx="142">
                  <c:v>66.778364403001305</c:v>
                </c:pt>
                <c:pt idx="143">
                  <c:v>67.808506377850463</c:v>
                </c:pt>
                <c:pt idx="144">
                  <c:v>68.847361915971533</c:v>
                </c:pt>
                <c:pt idx="145">
                  <c:v>69.894944461854479</c:v>
                </c:pt>
                <c:pt idx="146">
                  <c:v>70.951267297935502</c:v>
                </c:pt>
                <c:pt idx="147">
                  <c:v>72.01634354379226</c:v>
                </c:pt>
                <c:pt idx="148">
                  <c:v>73.090186155345037</c:v>
                </c:pt>
                <c:pt idx="149">
                  <c:v>74.172807924062795</c:v>
                </c:pt>
                <c:pt idx="150">
                  <c:v>75.26422147617474</c:v>
                </c:pt>
                <c:pt idx="151">
                  <c:v>76.364439271887292</c:v>
                </c:pt>
                <c:pt idx="152">
                  <c:v>77.473473604606667</c:v>
                </c:pt>
                <c:pt idx="153">
                  <c:v>78.591336600166912</c:v>
                </c:pt>
                <c:pt idx="154">
                  <c:v>79.718040216063741</c:v>
                </c:pt>
                <c:pt idx="155">
                  <c:v>80.853596240694159</c:v>
                </c:pt>
                <c:pt idx="156">
                  <c:v>81.998016292601676</c:v>
                </c:pt>
                <c:pt idx="157">
                  <c:v>83.15131181972761</c:v>
                </c:pt>
                <c:pt idx="158">
                  <c:v>84.313494098668443</c:v>
                </c:pt>
                <c:pt idx="159">
                  <c:v>85.484574233938886</c:v>
                </c:pt>
                <c:pt idx="160">
                  <c:v>86.664563157241261</c:v>
                </c:pt>
                <c:pt idx="161">
                  <c:v>87.853471626741111</c:v>
                </c:pt>
                <c:pt idx="162">
                  <c:v>89.051310226348932</c:v>
                </c:pt>
                <c:pt idx="163">
                  <c:v>90.25808936500826</c:v>
                </c:pt>
                <c:pt idx="164">
                  <c:v>91.473819275990181</c:v>
                </c:pt>
                <c:pt idx="165">
                  <c:v>92.698510016194106</c:v>
                </c:pt>
                <c:pt idx="166">
                  <c:v>93.932171465455511</c:v>
                </c:pt>
                <c:pt idx="167">
                  <c:v>95.174813325859745</c:v>
                </c:pt>
                <c:pt idx="168">
                  <c:v>96.426445121062699</c:v>
                </c:pt>
                <c:pt idx="169">
                  <c:v>97.687076195618346</c:v>
                </c:pt>
                <c:pt idx="170">
                  <c:v>98.956715714312921</c:v>
                </c:pt>
                <c:pt idx="171">
                  <c:v>100.23537266150605</c:v>
                </c:pt>
                <c:pt idx="172">
                  <c:v>101.52305584047859</c:v>
                </c:pt>
                <c:pt idx="173">
                  <c:v>102.81977387278764</c:v>
                </c:pt>
                <c:pt idx="174">
                  <c:v>104.12553519762881</c:v>
                </c:pt>
                <c:pt idx="175">
                  <c:v>105.44034807120497</c:v>
                </c:pt>
                <c:pt idx="176">
                  <c:v>106.76422056610292</c:v>
                </c:pt>
                <c:pt idx="177">
                  <c:v>108.09716057067686</c:v>
                </c:pt>
                <c:pt idx="178">
                  <c:v>109.43917578843907</c:v>
                </c:pt>
                <c:pt idx="179">
                  <c:v>110.79027373745865</c:v>
                </c:pt>
                <c:pt idx="180">
                  <c:v>112.15046174976668</c:v>
                </c:pt>
                <c:pt idx="181">
                  <c:v>113.51974697076967</c:v>
                </c:pt>
                <c:pt idx="182">
                  <c:v>114.89813635867047</c:v>
                </c:pt>
                <c:pt idx="183">
                  <c:v>116.28563668389609</c:v>
                </c:pt>
                <c:pt idx="184">
                  <c:v>117.68225452853439</c:v>
                </c:pt>
                <c:pt idx="185">
                  <c:v>119.08799628577738</c:v>
                </c:pt>
                <c:pt idx="186">
                  <c:v>120.50286815937304</c:v>
                </c:pt>
                <c:pt idx="187">
                  <c:v>121.92687616308449</c:v>
                </c:pt>
                <c:pt idx="188">
                  <c:v>123.3600261201575</c:v>
                </c:pt>
                <c:pt idx="189">
                  <c:v>124.80232366279589</c:v>
                </c:pt>
                <c:pt idx="190">
                  <c:v>126.25377423164458</c:v>
                </c:pt>
                <c:pt idx="191">
                  <c:v>127.71438307528129</c:v>
                </c:pt>
                <c:pt idx="192">
                  <c:v>129.18415524971584</c:v>
                </c:pt>
                <c:pt idx="193">
                  <c:v>130.66309561789797</c:v>
                </c:pt>
                <c:pt idx="194">
                  <c:v>132.15120884923357</c:v>
                </c:pt>
                <c:pt idx="195">
                  <c:v>133.64849941910825</c:v>
                </c:pt>
                <c:pt idx="196">
                  <c:v>135.15497160842116</c:v>
                </c:pt>
                <c:pt idx="197">
                  <c:v>136.67062950312496</c:v>
                </c:pt>
                <c:pt idx="198">
                  <c:v>138.19547699377577</c:v>
                </c:pt>
                <c:pt idx="199">
                  <c:v>139.7295177750913</c:v>
                </c:pt>
                <c:pt idx="200">
                  <c:v>141.27275534551723</c:v>
                </c:pt>
                <c:pt idx="201">
                  <c:v>142.82519300680264</c:v>
                </c:pt>
                <c:pt idx="202">
                  <c:v>144.38683386358369</c:v>
                </c:pt>
                <c:pt idx="203">
                  <c:v>145.95768082297607</c:v>
                </c:pt>
                <c:pt idx="204">
                  <c:v>147.53773659417701</c:v>
                </c:pt>
                <c:pt idx="205">
                  <c:v>149.12700368807452</c:v>
                </c:pt>
                <c:pt idx="206">
                  <c:v>150.72548441686718</c:v>
                </c:pt>
                <c:pt idx="207">
                  <c:v>152.33318089369146</c:v>
                </c:pt>
                <c:pt idx="208">
                  <c:v>153.95009503225901</c:v>
                </c:pt>
                <c:pt idx="209">
                  <c:v>155.57622854650253</c:v>
                </c:pt>
                <c:pt idx="210">
                  <c:v>157.21158295023022</c:v>
                </c:pt>
                <c:pt idx="211">
                  <c:v>158.85615955679032</c:v>
                </c:pt>
                <c:pt idx="212">
                  <c:v>160.50995947874378</c:v>
                </c:pt>
                <c:pt idx="213">
                  <c:v>162.17298362754696</c:v>
                </c:pt>
                <c:pt idx="214">
                  <c:v>163.84523271324281</c:v>
                </c:pt>
                <c:pt idx="215">
                  <c:v>165.52670724416174</c:v>
                </c:pt>
                <c:pt idx="216">
                  <c:v>167.21740752663166</c:v>
                </c:pt>
                <c:pt idx="217">
                  <c:v>168.91733366469737</c:v>
                </c:pt>
                <c:pt idx="218">
                  <c:v>170.62648555984941</c:v>
                </c:pt>
                <c:pt idx="219">
                  <c:v>172.34486291076198</c:v>
                </c:pt>
                <c:pt idx="220">
                  <c:v>174.07246521304057</c:v>
                </c:pt>
                <c:pt idx="221">
                  <c:v>175.80929175897955</c:v>
                </c:pt>
                <c:pt idx="222">
                  <c:v>177.5553416373283</c:v>
                </c:pt>
                <c:pt idx="223">
                  <c:v>179.3106137330675</c:v>
                </c:pt>
                <c:pt idx="224">
                  <c:v>181.07510672719485</c:v>
                </c:pt>
                <c:pt idx="225">
                  <c:v>182.84881909652088</c:v>
                </c:pt>
                <c:pt idx="226">
                  <c:v>184.63174911347335</c:v>
                </c:pt>
                <c:pt idx="227">
                  <c:v>186.42389484591274</c:v>
                </c:pt>
                <c:pt idx="228">
                  <c:v>188.225254156956</c:v>
                </c:pt>
                <c:pt idx="229">
                  <c:v>190.03582470481138</c:v>
                </c:pt>
                <c:pt idx="230">
                  <c:v>191.85560394262248</c:v>
                </c:pt>
                <c:pt idx="231">
                  <c:v>193.68458911832121</c:v>
                </c:pt>
                <c:pt idx="232">
                  <c:v>195.52277727449271</c:v>
                </c:pt>
                <c:pt idx="233">
                  <c:v>197.37016524824818</c:v>
                </c:pt>
                <c:pt idx="234">
                  <c:v>199.22674967110845</c:v>
                </c:pt>
                <c:pt idx="235">
                  <c:v>201.09252696889732</c:v>
                </c:pt>
                <c:pt idx="236">
                  <c:v>202.9674933616453</c:v>
                </c:pt>
                <c:pt idx="237">
                  <c:v>204.85164486350223</c:v>
                </c:pt>
                <c:pt idx="238">
                  <c:v>206.74497728266132</c:v>
                </c:pt>
                <c:pt idx="239">
                  <c:v>208.64748622129201</c:v>
                </c:pt>
                <c:pt idx="240">
                  <c:v>210.5591670754836</c:v>
                </c:pt>
                <c:pt idx="241">
                  <c:v>212.48001503519862</c:v>
                </c:pt>
                <c:pt idx="242">
                  <c:v>214.41002508423625</c:v>
                </c:pt>
                <c:pt idx="243">
                  <c:v>216.34919200020627</c:v>
                </c:pt>
                <c:pt idx="244">
                  <c:v>218.30703572324907</c:v>
                </c:pt>
                <c:pt idx="245">
                  <c:v>220.28368132927457</c:v>
                </c:pt>
                <c:pt idx="246">
                  <c:v>222.27925430597389</c:v>
                </c:pt>
                <c:pt idx="247">
                  <c:v>224.29388054756006</c:v>
                </c:pt>
                <c:pt idx="248">
                  <c:v>226.327686349456</c:v>
                </c:pt>
                <c:pt idx="249">
                  <c:v>228.38079840293008</c:v>
                </c:pt>
                <c:pt idx="250">
                  <c:v>230.45334378967786</c:v>
                </c:pt>
                <c:pt idx="251">
                  <c:v>232.54544997635134</c:v>
                </c:pt>
                <c:pt idx="252">
                  <c:v>234.65724480903444</c:v>
                </c:pt>
                <c:pt idx="253">
                  <c:v>236.78336998029746</c:v>
                </c:pt>
                <c:pt idx="254">
                  <c:v>238.91836407149515</c:v>
                </c:pt>
                <c:pt idx="255">
                  <c:v>241.06220417282375</c:v>
                </c:pt>
                <c:pt idx="256">
                  <c:v>243.21486715699376</c:v>
                </c:pt>
                <c:pt idx="257">
                  <c:v>245.37632968010789</c:v>
                </c:pt>
                <c:pt idx="258">
                  <c:v>247.54656818255228</c:v>
                </c:pt>
                <c:pt idx="259">
                  <c:v>249.72555888989828</c:v>
                </c:pt>
                <c:pt idx="260">
                  <c:v>251.91327781381699</c:v>
                </c:pt>
                <c:pt idx="261">
                  <c:v>254.10970075300429</c:v>
                </c:pt>
                <c:pt idx="262">
                  <c:v>256.31480329411812</c:v>
                </c:pt>
                <c:pt idx="263">
                  <c:v>258.52856081272722</c:v>
                </c:pt>
                <c:pt idx="264">
                  <c:v>260.75094847427079</c:v>
                </c:pt>
                <c:pt idx="265">
                  <c:v>262.98194123502964</c:v>
                </c:pt>
                <c:pt idx="266">
                  <c:v>265.22151384310922</c:v>
                </c:pt>
                <c:pt idx="267">
                  <c:v>267.46964083943243</c:v>
                </c:pt>
                <c:pt idx="268">
                  <c:v>269.72629655874533</c:v>
                </c:pt>
                <c:pt idx="269">
                  <c:v>271.9914551306328</c:v>
                </c:pt>
                <c:pt idx="270">
                  <c:v>274.26509048054533</c:v>
                </c:pt>
                <c:pt idx="271">
                  <c:v>276.54717633083612</c:v>
                </c:pt>
                <c:pt idx="272">
                  <c:v>278.8376862018111</c:v>
                </c:pt>
                <c:pt idx="273">
                  <c:v>281.13659341278697</c:v>
                </c:pt>
                <c:pt idx="274">
                  <c:v>283.44387108316221</c:v>
                </c:pt>
                <c:pt idx="275">
                  <c:v>285.75949213349708</c:v>
                </c:pt>
                <c:pt idx="276">
                  <c:v>288.08342928660534</c:v>
                </c:pt>
                <c:pt idx="277">
                  <c:v>290.41535935076467</c:v>
                </c:pt>
                <c:pt idx="278">
                  <c:v>292.75480546144394</c:v>
                </c:pt>
                <c:pt idx="279">
                  <c:v>295.10173079363108</c:v>
                </c:pt>
                <c:pt idx="280">
                  <c:v>297.45609835510021</c:v>
                </c:pt>
                <c:pt idx="281">
                  <c:v>299.81787098802897</c:v>
                </c:pt>
                <c:pt idx="282">
                  <c:v>302.18701137062277</c:v>
                </c:pt>
                <c:pt idx="283">
                  <c:v>304.56348201874738</c:v>
                </c:pt>
                <c:pt idx="284">
                  <c:v>306.94724528756984</c:v>
                </c:pt>
                <c:pt idx="285">
                  <c:v>309.33826337320477</c:v>
                </c:pt>
                <c:pt idx="286">
                  <c:v>311.73649831437069</c:v>
                </c:pt>
                <c:pt idx="287">
                  <c:v>314.14191199405184</c:v>
                </c:pt>
                <c:pt idx="288">
                  <c:v>316.5544661411675</c:v>
                </c:pt>
                <c:pt idx="289">
                  <c:v>318.97412233224867</c:v>
                </c:pt>
                <c:pt idx="290">
                  <c:v>321.4008419931215</c:v>
                </c:pt>
                <c:pt idx="291">
                  <c:v>323.83458640059649</c:v>
                </c:pt>
                <c:pt idx="292">
                  <c:v>326.27531668416617</c:v>
                </c:pt>
                <c:pt idx="293">
                  <c:v>328.72299382770768</c:v>
                </c:pt>
                <c:pt idx="294">
                  <c:v>331.1775786711915</c:v>
                </c:pt>
                <c:pt idx="295">
                  <c:v>333.63903191239876</c:v>
                </c:pt>
                <c:pt idx="296">
                  <c:v>336.10731410864059</c:v>
                </c:pt>
                <c:pt idx="297">
                  <c:v>338.58238567848724</c:v>
                </c:pt>
                <c:pt idx="298">
                  <c:v>341.0642069035012</c:v>
                </c:pt>
                <c:pt idx="299">
                  <c:v>343.55273792997554</c:v>
                </c:pt>
                <c:pt idx="300">
                  <c:v>346.0479387706792</c:v>
                </c:pt>
                <c:pt idx="301">
                  <c:v>348.54976930660581</c:v>
                </c:pt>
                <c:pt idx="302">
                  <c:v>351.05818928873009</c:v>
                </c:pt>
                <c:pt idx="303">
                  <c:v>353.57315833976656</c:v>
                </c:pt>
                <c:pt idx="304">
                  <c:v>356.0946359559357</c:v>
                </c:pt>
                <c:pt idx="305">
                  <c:v>358.6225815087339</c:v>
                </c:pt>
                <c:pt idx="306">
                  <c:v>361.15695424670736</c:v>
                </c:pt>
                <c:pt idx="307">
                  <c:v>363.69771329723181</c:v>
                </c:pt>
                <c:pt idx="308">
                  <c:v>366.24481766829615</c:v>
                </c:pt>
                <c:pt idx="309">
                  <c:v>368.79822625028999</c:v>
                </c:pt>
                <c:pt idx="310">
                  <c:v>371.35789781779613</c:v>
                </c:pt>
                <c:pt idx="311">
                  <c:v>373.92379103138552</c:v>
                </c:pt>
                <c:pt idx="312">
                  <c:v>376.4958644394186</c:v>
                </c:pt>
                <c:pt idx="313">
                  <c:v>379.07407647984718</c:v>
                </c:pt>
                <c:pt idx="314">
                  <c:v>381.65838548202271</c:v>
                </c:pt>
                <c:pt idx="315">
                  <c:v>384.24874966850649</c:v>
                </c:pt>
                <c:pt idx="316">
                  <c:v>386.84512715688339</c:v>
                </c:pt>
                <c:pt idx="317">
                  <c:v>389.44747596157833</c:v>
                </c:pt>
                <c:pt idx="318">
                  <c:v>392.05575399567749</c:v>
                </c:pt>
                <c:pt idx="319">
                  <c:v>394.66991907274968</c:v>
                </c:pt>
                <c:pt idx="320">
                  <c:v>397.28992890867323</c:v>
                </c:pt>
                <c:pt idx="321">
                  <c:v>399.91574112346314</c:v>
                </c:pt>
                <c:pt idx="322">
                  <c:v>402.54731324310234</c:v>
                </c:pt>
                <c:pt idx="323">
                  <c:v>405.18460270137365</c:v>
                </c:pt>
                <c:pt idx="324">
                  <c:v>407.82756684169686</c:v>
                </c:pt>
                <c:pt idx="325">
                  <c:v>410.47616291896315</c:v>
                </c:pt>
                <c:pt idx="326">
                  <c:v>413.13034810137583</c:v>
                </c:pt>
                <c:pt idx="327">
                  <c:v>415.79007947229127</c:v>
                </c:pt>
                <c:pt idx="328">
                  <c:v>418.45531403206007</c:v>
                </c:pt>
                <c:pt idx="329">
                  <c:v>421.12600869987187</c:v>
                </c:pt>
                <c:pt idx="330">
                  <c:v>423.80212031559967</c:v>
                </c:pt>
                <c:pt idx="331">
                  <c:v>426.48360564164705</c:v>
                </c:pt>
                <c:pt idx="332">
                  <c:v>429.17042136479455</c:v>
                </c:pt>
                <c:pt idx="333">
                  <c:v>431.86252409804922</c:v>
                </c:pt>
                <c:pt idx="334">
                  <c:v>434.55987038249253</c:v>
                </c:pt>
                <c:pt idx="335">
                  <c:v>437.26241668913082</c:v>
                </c:pt>
                <c:pt idx="336">
                  <c:v>439.97011942074505</c:v>
                </c:pt>
                <c:pt idx="337">
                  <c:v>442.68293491374186</c:v>
                </c:pt>
                <c:pt idx="338">
                  <c:v>445.40081944000389</c:v>
                </c:pt>
                <c:pt idx="339">
                  <c:v>448.1237292087406</c:v>
                </c:pt>
                <c:pt idx="340">
                  <c:v>450.85162036833992</c:v>
                </c:pt>
                <c:pt idx="341">
                  <c:v>453.58444900821769</c:v>
                </c:pt>
                <c:pt idx="342">
                  <c:v>456.32217116066931</c:v>
                </c:pt>
                <c:pt idx="343">
                  <c:v>459.06474280271811</c:v>
                </c:pt>
                <c:pt idx="344">
                  <c:v>461.81243352529196</c:v>
                </c:pt>
                <c:pt idx="345">
                  <c:v>464.56803486588223</c:v>
                </c:pt>
                <c:pt idx="346">
                  <c:v>467.33152934462669</c:v>
                </c:pt>
                <c:pt idx="347">
                  <c:v>470.10289932155484</c:v>
                </c:pt>
                <c:pt idx="348">
                  <c:v>472.88212699721612</c:v>
                </c:pt>
                <c:pt idx="349">
                  <c:v>475.66919441331538</c:v>
                </c:pt>
                <c:pt idx="350">
                  <c:v>478.4640834533559</c:v>
                </c:pt>
                <c:pt idx="351">
                  <c:v>481.26677584329099</c:v>
                </c:pt>
                <c:pt idx="352">
                  <c:v>484.07725315218215</c:v>
                </c:pt>
                <c:pt idx="353">
                  <c:v>486.895496792865</c:v>
                </c:pt>
                <c:pt idx="354">
                  <c:v>489.72148802262438</c:v>
                </c:pt>
                <c:pt idx="355">
                  <c:v>492.55520794387513</c:v>
                </c:pt>
                <c:pt idx="356">
                  <c:v>495.39663750485022</c:v>
                </c:pt>
                <c:pt idx="357">
                  <c:v>498.24575750029925</c:v>
                </c:pt>
                <c:pt idx="358">
                  <c:v>501.10254857219041</c:v>
                </c:pt>
                <c:pt idx="359">
                  <c:v>503.96699121042218</c:v>
                </c:pt>
                <c:pt idx="360">
                  <c:v>506.83906575354325</c:v>
                </c:pt>
                <c:pt idx="361">
                  <c:v>509.71875238947649</c:v>
                </c:pt>
                <c:pt idx="362">
                  <c:v>512.60603115625304</c:v>
                </c:pt>
                <c:pt idx="363">
                  <c:v>515.50088194275406</c:v>
                </c:pt>
                <c:pt idx="364">
                  <c:v>518.4032844894549</c:v>
                </c:pt>
                <c:pt idx="365">
                  <c:v>521.31321838918302</c:v>
                </c:pt>
                <c:pt idx="366">
                  <c:v>524.23066308787782</c:v>
                </c:pt>
                <c:pt idx="367">
                  <c:v>527.15559788536075</c:v>
                </c:pt>
                <c:pt idx="368">
                  <c:v>530.08800193610978</c:v>
                </c:pt>
                <c:pt idx="369">
                  <c:v>533.02785425004186</c:v>
                </c:pt>
                <c:pt idx="370">
                  <c:v>535.97513369330386</c:v>
                </c:pt>
                <c:pt idx="371">
                  <c:v>538.92981898906726</c:v>
                </c:pt>
                <c:pt idx="372">
                  <c:v>541.89188871833369</c:v>
                </c:pt>
                <c:pt idx="373">
                  <c:v>544.85909286303536</c:v>
                </c:pt>
                <c:pt idx="374">
                  <c:v>547.8313927813341</c:v>
                </c:pt>
                <c:pt idx="375">
                  <c:v>550.80874976911127</c:v>
                </c:pt>
                <c:pt idx="376">
                  <c:v>553.79112506154593</c:v>
                </c:pt>
                <c:pt idx="377">
                  <c:v>556.77847983469019</c:v>
                </c:pt>
                <c:pt idx="378">
                  <c:v>559.77077520704665</c:v>
                </c:pt>
                <c:pt idx="379">
                  <c:v>562.76797224114523</c:v>
                </c:pt>
                <c:pt idx="380">
                  <c:v>565.77003194512065</c:v>
                </c:pt>
                <c:pt idx="381">
                  <c:v>568.77691527428908</c:v>
                </c:pt>
                <c:pt idx="382">
                  <c:v>571.78858313272622</c:v>
                </c:pt>
                <c:pt idx="383">
                  <c:v>574.80499637484252</c:v>
                </c:pt>
                <c:pt idx="384">
                  <c:v>577.8261158069605</c:v>
                </c:pt>
                <c:pt idx="385">
                  <c:v>580.85190218889204</c:v>
                </c:pt>
                <c:pt idx="386">
                  <c:v>583.88231623551076</c:v>
                </c:pt>
                <c:pt idx="387">
                  <c:v>586.91731861832977</c:v>
                </c:pt>
                <c:pt idx="388">
                  <c:v>589.95686996707343</c:v>
                </c:pt>
                <c:pt idx="389">
                  <c:v>593.00093087125197</c:v>
                </c:pt>
                <c:pt idx="390">
                  <c:v>596.04946188173221</c:v>
                </c:pt>
                <c:pt idx="391">
                  <c:v>599.10242351230988</c:v>
                </c:pt>
                <c:pt idx="392">
                  <c:v>602.15977624127845</c:v>
                </c:pt>
                <c:pt idx="393">
                  <c:v>605.22148051299769</c:v>
                </c:pt>
                <c:pt idx="394">
                  <c:v>608.28749673946027</c:v>
                </c:pt>
                <c:pt idx="395">
                  <c:v>611.35778530185928</c:v>
                </c:pt>
                <c:pt idx="396">
                  <c:v>614.43230655214927</c:v>
                </c:pt>
                <c:pt idx="397">
                  <c:v>617.51102081460942</c:v>
                </c:pt>
                <c:pt idx="398">
                  <c:v>620.59388838740495</c:v>
                </c:pt>
                <c:pt idx="399">
                  <c:v>623.68086954414412</c:v>
                </c:pt>
                <c:pt idx="400">
                  <c:v>626.77192453543466</c:v>
                </c:pt>
                <c:pt idx="401">
                  <c:v>629.86701359043809</c:v>
                </c:pt>
                <c:pt idx="402">
                  <c:v>632.96609691842161</c:v>
                </c:pt>
                <c:pt idx="403">
                  <c:v>636.06913471030782</c:v>
                </c:pt>
                <c:pt idx="404">
                  <c:v>639.17608714022163</c:v>
                </c:pt>
                <c:pt idx="405">
                  <c:v>642.28691436703355</c:v>
                </c:pt>
                <c:pt idx="406">
                  <c:v>645.40157653590359</c:v>
                </c:pt>
                <c:pt idx="407">
                  <c:v>648.52003377981941</c:v>
                </c:pt>
                <c:pt idx="408">
                  <c:v>651.64224622113181</c:v>
                </c:pt>
                <c:pt idx="409">
                  <c:v>654.76541959890938</c:v>
                </c:pt>
                <c:pt idx="410">
                  <c:v>657.88880594643661</c:v>
                </c:pt>
                <c:pt idx="411">
                  <c:v>661.01234373814555</c:v>
                </c:pt>
                <c:pt idx="412">
                  <c:v>664.13597162711505</c:v>
                </c:pt>
                <c:pt idx="413">
                  <c:v>667.25962844724461</c:v>
                </c:pt>
                <c:pt idx="414">
                  <c:v>670.38325321540663</c:v>
                </c:pt>
                <c:pt idx="415">
                  <c:v>673.50678513357764</c:v>
                </c:pt>
                <c:pt idx="416">
                  <c:v>676.63016359095093</c:v>
                </c:pt>
                <c:pt idx="417">
                  <c:v>679.75332816602656</c:v>
                </c:pt>
                <c:pt idx="418">
                  <c:v>682.87621862868264</c:v>
                </c:pt>
                <c:pt idx="419">
                  <c:v>685.99877494222426</c:v>
                </c:pt>
                <c:pt idx="420">
                  <c:v>689.12093726541207</c:v>
                </c:pt>
                <c:pt idx="421">
                  <c:v>692.24264595447153</c:v>
                </c:pt>
                <c:pt idx="422">
                  <c:v>695.36384156507995</c:v>
                </c:pt>
                <c:pt idx="423">
                  <c:v>698.48446485433033</c:v>
                </c:pt>
                <c:pt idx="424">
                  <c:v>701.60445678267843</c:v>
                </c:pt>
                <c:pt idx="425">
                  <c:v>704.72375851586571</c:v>
                </c:pt>
                <c:pt idx="426">
                  <c:v>707.84231142682245</c:v>
                </c:pt>
                <c:pt idx="427">
                  <c:v>710.96005709754854</c:v>
                </c:pt>
                <c:pt idx="428">
                  <c:v>714.07693732097425</c:v>
                </c:pt>
                <c:pt idx="429">
                  <c:v>717.1928941027976</c:v>
                </c:pt>
                <c:pt idx="430">
                  <c:v>720.30786966330231</c:v>
                </c:pt>
                <c:pt idx="431">
                  <c:v>723.4218064391539</c:v>
                </c:pt>
                <c:pt idx="432">
                  <c:v>726.53464708517367</c:v>
                </c:pt>
                <c:pt idx="433">
                  <c:v>729.6463344760906</c:v>
                </c:pt>
                <c:pt idx="434">
                  <c:v>732.75681170827238</c:v>
                </c:pt>
                <c:pt idx="435">
                  <c:v>735.8660221014369</c:v>
                </c:pt>
                <c:pt idx="436">
                  <c:v>738.97390920033627</c:v>
                </c:pt>
                <c:pt idx="437">
                  <c:v>742.08041677642655</c:v>
                </c:pt>
                <c:pt idx="438">
                  <c:v>745.18548882950927</c:v>
                </c:pt>
                <c:pt idx="439">
                  <c:v>748.28906958935511</c:v>
                </c:pt>
                <c:pt idx="440">
                  <c:v>751.39110351730267</c:v>
                </c:pt>
                <c:pt idx="441">
                  <c:v>754.49153530784201</c:v>
                </c:pt>
                <c:pt idx="442">
                  <c:v>757.59030989016526</c:v>
                </c:pt>
                <c:pt idx="443">
                  <c:v>760.68737242970712</c:v>
                </c:pt>
                <c:pt idx="444">
                  <c:v>763.78266832965357</c:v>
                </c:pt>
                <c:pt idx="445">
                  <c:v>766.87614323243679</c:v>
                </c:pt>
                <c:pt idx="446">
                  <c:v>769.96774302120343</c:v>
                </c:pt>
                <c:pt idx="447">
                  <c:v>773.05741382125984</c:v>
                </c:pt>
                <c:pt idx="448">
                  <c:v>776.1451020015013</c:v>
                </c:pt>
                <c:pt idx="449">
                  <c:v>779.23075417581367</c:v>
                </c:pt>
                <c:pt idx="450">
                  <c:v>782.31431720445414</c:v>
                </c:pt>
                <c:pt idx="451">
                  <c:v>785.3957381954134</c:v>
                </c:pt>
                <c:pt idx="452">
                  <c:v>788.47496450575215</c:v>
                </c:pt>
                <c:pt idx="453">
                  <c:v>791.55194374291591</c:v>
                </c:pt>
                <c:pt idx="454">
                  <c:v>794.62662376603089</c:v>
                </c:pt>
                <c:pt idx="455">
                  <c:v>797.69895268717596</c:v>
                </c:pt>
                <c:pt idx="456">
                  <c:v>800.76887887263183</c:v>
                </c:pt>
                <c:pt idx="457">
                  <c:v>803.83635094411011</c:v>
                </c:pt>
                <c:pt idx="458">
                  <c:v>806.9013177799593</c:v>
                </c:pt>
                <c:pt idx="459">
                  <c:v>809.96372851634999</c:v>
                </c:pt>
                <c:pt idx="460">
                  <c:v>813.02353254843763</c:v>
                </c:pt>
                <c:pt idx="461">
                  <c:v>816.08067953150282</c:v>
                </c:pt>
                <c:pt idx="462">
                  <c:v>819.1351193820725</c:v>
                </c:pt>
                <c:pt idx="463">
                  <c:v>822.18680227901473</c:v>
                </c:pt>
                <c:pt idx="464">
                  <c:v>825.23567866461633</c:v>
                </c:pt>
                <c:pt idx="465">
                  <c:v>828.28169924563804</c:v>
                </c:pt>
                <c:pt idx="466">
                  <c:v>831.32481499434448</c:v>
                </c:pt>
                <c:pt idx="467">
                  <c:v>834.3649771495169</c:v>
                </c:pt>
                <c:pt idx="468">
                  <c:v>837.40213721744124</c:v>
                </c:pt>
                <c:pt idx="469">
                  <c:v>840.43624697287748</c:v>
                </c:pt>
                <c:pt idx="470">
                  <c:v>843.46725846000538</c:v>
                </c:pt>
                <c:pt idx="471">
                  <c:v>846.49512399334878</c:v>
                </c:pt>
                <c:pt idx="472">
                  <c:v>849.51979615867879</c:v>
                </c:pt>
                <c:pt idx="473">
                  <c:v>852.54122781389879</c:v>
                </c:pt>
                <c:pt idx="474">
                  <c:v>855.5593720899019</c:v>
                </c:pt>
                <c:pt idx="475">
                  <c:v>858.5741823914118</c:v>
                </c:pt>
                <c:pt idx="476">
                  <c:v>861.58561239780261</c:v>
                </c:pt>
                <c:pt idx="477">
                  <c:v>864.59361606389439</c:v>
                </c:pt>
                <c:pt idx="478">
                  <c:v>867.59814762072949</c:v>
                </c:pt>
                <c:pt idx="479">
                  <c:v>870.59916157632915</c:v>
                </c:pt>
                <c:pt idx="480">
                  <c:v>873.5966127164271</c:v>
                </c:pt>
                <c:pt idx="481">
                  <c:v>876.59045610518308</c:v>
                </c:pt>
                <c:pt idx="482">
                  <c:v>879.58064708587472</c:v>
                </c:pt>
                <c:pt idx="483">
                  <c:v>882.56714128157</c:v>
                </c:pt>
                <c:pt idx="484">
                  <c:v>885.54989459577951</c:v>
                </c:pt>
                <c:pt idx="485">
                  <c:v>888.52886321308392</c:v>
                </c:pt>
                <c:pt idx="486">
                  <c:v>891.50400359974776</c:v>
                </c:pt>
                <c:pt idx="487">
                  <c:v>894.47527250430676</c:v>
                </c:pt>
                <c:pt idx="488">
                  <c:v>897.442626958137</c:v>
                </c:pt>
                <c:pt idx="489">
                  <c:v>900.40602427600481</c:v>
                </c:pt>
                <c:pt idx="490">
                  <c:v>903.36542205659521</c:v>
                </c:pt>
                <c:pt idx="491">
                  <c:v>906.32077818301786</c:v>
                </c:pt>
                <c:pt idx="492">
                  <c:v>909.27205082330033</c:v>
                </c:pt>
                <c:pt idx="493">
                  <c:v>912.21919843085118</c:v>
                </c:pt>
                <c:pt idx="494">
                  <c:v>915.16217974491303</c:v>
                </c:pt>
                <c:pt idx="495">
                  <c:v>918.10095379098857</c:v>
                </c:pt>
                <c:pt idx="496">
                  <c:v>921.0354798812499</c:v>
                </c:pt>
                <c:pt idx="497">
                  <c:v>923.96467453338823</c:v>
                </c:pt>
                <c:pt idx="498">
                  <c:v>926.88744893214869</c:v>
                </c:pt>
                <c:pt idx="499">
                  <c:v>929.80375663643088</c:v>
                </c:pt>
                <c:pt idx="500">
                  <c:v>932.71355161684653</c:v>
                </c:pt>
                <c:pt idx="501">
                  <c:v>935.61678825574711</c:v>
                </c:pt>
                <c:pt idx="502">
                  <c:v>938.51342134721756</c:v>
                </c:pt>
                <c:pt idx="503">
                  <c:v>941.40340609704299</c:v>
                </c:pt>
                <c:pt idx="504">
                  <c:v>944.28669812265093</c:v>
                </c:pt>
                <c:pt idx="505">
                  <c:v>947.16325345302153</c:v>
                </c:pt>
                <c:pt idx="506">
                  <c:v>950.03302852857519</c:v>
                </c:pt>
                <c:pt idx="507">
                  <c:v>952.89598020102915</c:v>
                </c:pt>
                <c:pt idx="508">
                  <c:v>955.75206573323032</c:v>
                </c:pt>
                <c:pt idx="509">
                  <c:v>958.60124279895797</c:v>
                </c:pt>
                <c:pt idx="510">
                  <c:v>961.44346948270368</c:v>
                </c:pt>
                <c:pt idx="511">
                  <c:v>964.2787042794215</c:v>
                </c:pt>
                <c:pt idx="512">
                  <c:v>967.10690609425819</c:v>
                </c:pt>
                <c:pt idx="513">
                  <c:v>969.92803424224803</c:v>
                </c:pt>
                <c:pt idx="514">
                  <c:v>972.74204844798987</c:v>
                </c:pt>
                <c:pt idx="515">
                  <c:v>975.54890884529789</c:v>
                </c:pt>
                <c:pt idx="516">
                  <c:v>978.34857597682196</c:v>
                </c:pt>
                <c:pt idx="517">
                  <c:v>981.14101079364889</c:v>
                </c:pt>
                <c:pt idx="518">
                  <c:v>983.92617465487831</c:v>
                </c:pt>
                <c:pt idx="519">
                  <c:v>986.70402932716843</c:v>
                </c:pt>
                <c:pt idx="520">
                  <c:v>989.47453698426364</c:v>
                </c:pt>
                <c:pt idx="521">
                  <c:v>992.23766020649714</c:v>
                </c:pt>
                <c:pt idx="522">
                  <c:v>994.99336198026629</c:v>
                </c:pt>
                <c:pt idx="523">
                  <c:v>997.74160569748733</c:v>
                </c:pt>
                <c:pt idx="524">
                  <c:v>1000.4823551550252</c:v>
                </c:pt>
                <c:pt idx="525">
                  <c:v>1003.2155745541022</c:v>
                </c:pt>
                <c:pt idx="526">
                  <c:v>1005.9412284996804</c:v>
                </c:pt>
                <c:pt idx="527">
                  <c:v>1008.6592819998248</c:v>
                </c:pt>
                <c:pt idx="528">
                  <c:v>1011.3697004650403</c:v>
                </c:pt>
                <c:pt idx="529">
                  <c:v>1014.0724497075918</c:v>
                </c:pt>
                <c:pt idx="530">
                  <c:v>1016.7674959407937</c:v>
                </c:pt>
                <c:pt idx="531">
                  <c:v>1019.4548057782881</c:v>
                </c:pt>
                <c:pt idx="532">
                  <c:v>1022.1343462332925</c:v>
                </c:pt>
                <c:pt idx="533">
                  <c:v>1024.8060847178306</c:v>
                </c:pt>
                <c:pt idx="534">
                  <c:v>1027.4699890419411</c:v>
                </c:pt>
                <c:pt idx="535">
                  <c:v>1030.1260274128645</c:v>
                </c:pt>
                <c:pt idx="536">
                  <c:v>1032.7741684342118</c:v>
                </c:pt>
                <c:pt idx="537">
                  <c:v>1035.4143811051104</c:v>
                </c:pt>
                <c:pt idx="538">
                  <c:v>1038.0466348193283</c:v>
                </c:pt>
                <c:pt idx="539">
                  <c:v>1040.6708993643849</c:v>
                </c:pt>
                <c:pt idx="540">
                  <c:v>1043.2871449206332</c:v>
                </c:pt>
                <c:pt idx="541">
                  <c:v>1045.8953420603286</c:v>
                </c:pt>
                <c:pt idx="542">
                  <c:v>1048.4954617466788</c:v>
                </c:pt>
                <c:pt idx="543">
                  <c:v>1051.0874753328669</c:v>
                </c:pt>
                <c:pt idx="544">
                  <c:v>1053.6713545610671</c:v>
                </c:pt>
                <c:pt idx="545">
                  <c:v>1056.2470715614345</c:v>
                </c:pt>
                <c:pt idx="546">
                  <c:v>1058.8145988510748</c:v>
                </c:pt>
                <c:pt idx="547">
                  <c:v>1061.3739093330021</c:v>
                </c:pt>
                <c:pt idx="548">
                  <c:v>1063.924976295076</c:v>
                </c:pt>
                <c:pt idx="549">
                  <c:v>1066.467773408918</c:v>
                </c:pt>
                <c:pt idx="550">
                  <c:v>1069.0015210444308</c:v>
                </c:pt>
                <c:pt idx="551">
                  <c:v>1071.5244307417804</c:v>
                </c:pt>
                <c:pt idx="552">
                  <c:v>1074.0364734153791</c:v>
                </c:pt>
                <c:pt idx="553">
                  <c:v>1076.5376205066984</c:v>
                </c:pt>
                <c:pt idx="554">
                  <c:v>1079.0278439823244</c:v>
                </c:pt>
                <c:pt idx="555">
                  <c:v>1081.5071163319865</c:v>
                </c:pt>
                <c:pt idx="556">
                  <c:v>1083.9754105665713</c:v>
                </c:pt>
                <c:pt idx="557">
                  <c:v>1086.4327002160983</c:v>
                </c:pt>
                <c:pt idx="558">
                  <c:v>1088.8789593276927</c:v>
                </c:pt>
                <c:pt idx="559">
                  <c:v>1091.3141624635175</c:v>
                </c:pt>
                <c:pt idx="560">
                  <c:v>1093.7382846986964</c:v>
                </c:pt>
                <c:pt idx="561">
                  <c:v>1096.1513016192105</c:v>
                </c:pt>
                <c:pt idx="562">
                  <c:v>1098.5531893197747</c:v>
                </c:pt>
                <c:pt idx="563">
                  <c:v>1100.9439244016935</c:v>
                </c:pt>
                <c:pt idx="564">
                  <c:v>1103.3234839707002</c:v>
                </c:pt>
                <c:pt idx="565">
                  <c:v>1105.6918456347644</c:v>
                </c:pt>
                <c:pt idx="566">
                  <c:v>1108.0489875019002</c:v>
                </c:pt>
                <c:pt idx="567">
                  <c:v>1110.3948881779365</c:v>
                </c:pt>
                <c:pt idx="568">
                  <c:v>1112.7295267642783</c:v>
                </c:pt>
                <c:pt idx="569">
                  <c:v>1115.052882855648</c:v>
                </c:pt>
                <c:pt idx="570">
                  <c:v>1117.3649365378078</c:v>
                </c:pt>
                <c:pt idx="571">
                  <c:v>1119.6656683852677</c:v>
                </c:pt>
                <c:pt idx="572">
                  <c:v>1121.9550594589728</c:v>
                </c:pt>
                <c:pt idx="573">
                  <c:v>1124.2330913039739</c:v>
                </c:pt>
                <c:pt idx="574">
                  <c:v>1126.4997459470844</c:v>
                </c:pt>
                <c:pt idx="575">
                  <c:v>1128.7550058945217</c:v>
                </c:pt>
                <c:pt idx="576">
                  <c:v>1130.9988541295284</c:v>
                </c:pt>
                <c:pt idx="577">
                  <c:v>1133.2312741099829</c:v>
                </c:pt>
                <c:pt idx="578">
                  <c:v>1135.4522497659932</c:v>
                </c:pt>
                <c:pt idx="579">
                  <c:v>1137.6617654974759</c:v>
                </c:pt>
                <c:pt idx="580">
                  <c:v>1139.8598061717221</c:v>
                </c:pt>
                <c:pt idx="581">
                  <c:v>1142.0463571209468</c:v>
                </c:pt>
                <c:pt idx="582">
                  <c:v>1144.2214041398322</c:v>
                </c:pt>
                <c:pt idx="583">
                  <c:v>1146.3849334830466</c:v>
                </c:pt>
                <c:pt idx="584">
                  <c:v>1148.5369318627613</c:v>
                </c:pt>
                <c:pt idx="585">
                  <c:v>1150.6773864461477</c:v>
                </c:pt>
                <c:pt idx="586">
                  <c:v>1152.8062848528664</c:v>
                </c:pt>
                <c:pt idx="587">
                  <c:v>1154.9236151525445</c:v>
                </c:pt>
                <c:pt idx="588">
                  <c:v>1157.029365862239</c:v>
                </c:pt>
                <c:pt idx="589">
                  <c:v>1159.1235259438906</c:v>
                </c:pt>
                <c:pt idx="590">
                  <c:v>1161.2060848017679</c:v>
                </c:pt>
                <c:pt idx="591">
                  <c:v>1163.2770322799013</c:v>
                </c:pt>
                <c:pt idx="592">
                  <c:v>1165.3363586595037</c:v>
                </c:pt>
                <c:pt idx="593">
                  <c:v>1167.3840546563856</c:v>
                </c:pt>
                <c:pt idx="594">
                  <c:v>1169.4201114183584</c:v>
                </c:pt>
                <c:pt idx="595">
                  <c:v>1171.4445205226298</c:v>
                </c:pt>
                <c:pt idx="596">
                  <c:v>1173.4572739731909</c:v>
                </c:pt>
                <c:pt idx="597">
                  <c:v>1175.4583641981935</c:v>
                </c:pt>
                <c:pt idx="598">
                  <c:v>1177.4477840473205</c:v>
                </c:pt>
                <c:pt idx="599">
                  <c:v>1179.4255267891472</c:v>
                </c:pt>
                <c:pt idx="600">
                  <c:v>1181.3915861084993</c:v>
                </c:pt>
                <c:pt idx="601">
                  <c:v>1183.3459561037985</c:v>
                </c:pt>
                <c:pt idx="602">
                  <c:v>1185.2886312844037</c:v>
                </c:pt>
                <c:pt idx="603">
                  <c:v>1187.2196065679482</c:v>
                </c:pt>
                <c:pt idx="604">
                  <c:v>1189.1388772776661</c:v>
                </c:pt>
                <c:pt idx="605">
                  <c:v>1191.0464391397152</c:v>
                </c:pt>
                <c:pt idx="606">
                  <c:v>1192.942288280497</c:v>
                </c:pt>
                <c:pt idx="607">
                  <c:v>1194.8264212239667</c:v>
                </c:pt>
                <c:pt idx="608">
                  <c:v>1196.6988348889411</c:v>
                </c:pt>
                <c:pt idx="609">
                  <c:v>1198.5595265864001</c:v>
                </c:pt>
                <c:pt idx="610">
                  <c:v>1200.4084940167877</c:v>
                </c:pt>
                <c:pt idx="611">
                  <c:v>1202.2457352673046</c:v>
                </c:pt>
                <c:pt idx="612">
                  <c:v>1204.0642072411158</c:v>
                </c:pt>
                <c:pt idx="613">
                  <c:v>1205.8639100774526</c:v>
                </c:pt>
                <c:pt idx="614">
                  <c:v>1207.64484471777</c:v>
                </c:pt>
                <c:pt idx="615">
                  <c:v>1209.4070128993344</c:v>
                </c:pt>
                <c:pt idx="616">
                  <c:v>1211.1504171487788</c:v>
                </c:pt>
                <c:pt idx="617">
                  <c:v>1212.8750607756654</c:v>
                </c:pt>
                <c:pt idx="618">
                  <c:v>1214.5809478660326</c:v>
                </c:pt>
                <c:pt idx="619">
                  <c:v>1216.2680832759361</c:v>
                </c:pt>
                <c:pt idx="620">
                  <c:v>1217.9364726249848</c:v>
                </c:pt>
                <c:pt idx="621">
                  <c:v>1219.5861222898725</c:v>
                </c:pt>
                <c:pt idx="622">
                  <c:v>1221.2170393978995</c:v>
                </c:pt>
                <c:pt idx="623">
                  <c:v>1222.8292318205015</c:v>
                </c:pt>
                <c:pt idx="624">
                  <c:v>1224.4227081667611</c:v>
                </c:pt>
                <c:pt idx="625">
                  <c:v>1225.9974777769314</c:v>
                </c:pt>
                <c:pt idx="626">
                  <c:v>1227.5535507159489</c:v>
                </c:pt>
                <c:pt idx="627">
                  <c:v>1229.0909377669473</c:v>
                </c:pt>
                <c:pt idx="628">
                  <c:v>1230.6096504247787</c:v>
                </c:pt>
                <c:pt idx="629">
                  <c:v>1232.1097008895251</c:v>
                </c:pt>
                <c:pt idx="630">
                  <c:v>1233.5911020600197</c:v>
                </c:pt>
                <c:pt idx="631">
                  <c:v>1235.0538675273688</c:v>
                </c:pt>
                <c:pt idx="632">
                  <c:v>1236.4980115684737</c:v>
                </c:pt>
                <c:pt idx="633">
                  <c:v>1237.9235491395627</c:v>
                </c:pt>
                <c:pt idx="634">
                  <c:v>1239.3304958697231</c:v>
                </c:pt>
                <c:pt idx="635">
                  <c:v>1240.7188680544393</c:v>
                </c:pt>
                <c:pt idx="636">
                  <c:v>1242.0886826491394</c:v>
                </c:pt>
                <c:pt idx="637">
                  <c:v>1243.4399572627456</c:v>
                </c:pt>
                <c:pt idx="638">
                  <c:v>1244.7727101512369</c:v>
                </c:pt>
                <c:pt idx="639">
                  <c:v>1246.0869602112139</c:v>
                </c:pt>
                <c:pt idx="640">
                  <c:v>1247.3827269734747</c:v>
                </c:pt>
                <c:pt idx="641">
                  <c:v>1248.6600305966067</c:v>
                </c:pt>
                <c:pt idx="642">
                  <c:v>1249.9188918605771</c:v>
                </c:pt>
                <c:pt idx="643">
                  <c:v>1251.1593321603409</c:v>
                </c:pt>
                <c:pt idx="644">
                  <c:v>1252.3813734994653</c:v>
                </c:pt>
                <c:pt idx="645">
                  <c:v>1253.5850384837518</c:v>
                </c:pt>
                <c:pt idx="646">
                  <c:v>1254.7505437293655</c:v>
                </c:pt>
                <c:pt idx="647">
                  <c:v>1255.875737391538</c:v>
                </c:pt>
                <c:pt idx="648">
                  <c:v>1256.9606760145582</c:v>
                </c:pt>
                <c:pt idx="649">
                  <c:v>1258.0054187243652</c:v>
                </c:pt>
                <c:pt idx="650">
                  <c:v>1259.0100271993933</c:v>
                </c:pt>
                <c:pt idx="651">
                  <c:v>1259.9745656414141</c:v>
                </c:pt>
                <c:pt idx="652">
                  <c:v>1260.8991007463903</c:v>
                </c:pt>
                <c:pt idx="653">
                  <c:v>1261.7837016753376</c:v>
                </c:pt>
                <c:pt idx="654">
                  <c:v>1262.6284400252084</c:v>
                </c:pt>
                <c:pt idx="655">
                  <c:v>1263.4333897997958</c:v>
                </c:pt>
                <c:pt idx="656">
                  <c:v>1264.1986273806713</c:v>
                </c:pt>
                <c:pt idx="657">
                  <c:v>1264.9242314981495</c:v>
                </c:pt>
                <c:pt idx="658">
                  <c:v>1265.6102832022982</c:v>
                </c:pt>
                <c:pt idx="659">
                  <c:v>1266.2568658339881</c:v>
                </c:pt>
                <c:pt idx="660">
                  <c:v>1266.8640649959955</c:v>
                </c:pt>
                <c:pt idx="661">
                  <c:v>1267.4319685241555</c:v>
                </c:pt>
                <c:pt idx="662">
                  <c:v>1267.9606664585756</c:v>
                </c:pt>
                <c:pt idx="663">
                  <c:v>1268.4502510149114</c:v>
                </c:pt>
                <c:pt idx="664">
                  <c:v>1268.9008165557118</c:v>
                </c:pt>
                <c:pt idx="665">
                  <c:v>1269.312459561839</c:v>
                </c:pt>
                <c:pt idx="666">
                  <c:v>1269.6432279569235</c:v>
                </c:pt>
                <c:pt idx="667">
                  <c:v>1269.8828186839137</c:v>
                </c:pt>
                <c:pt idx="668">
                  <c:v>1270.0314865892485</c:v>
                </c:pt>
                <c:pt idx="669">
                  <c:v>1270.0894982838765</c:v>
                </c:pt>
                <c:pt idx="670">
                  <c:v>1270.057131983712</c:v>
                </c:pt>
                <c:pt idx="671">
                  <c:v>1269.934677349775</c:v>
                </c:pt>
                <c:pt idx="672">
                  <c:v>1269.7224353280567</c:v>
                </c:pt>
                <c:pt idx="673">
                  <c:v>1269.420717989186</c:v>
                </c:pt>
                <c:pt idx="674">
                  <c:v>1269.0298483679396</c:v>
                </c:pt>
                <c:pt idx="675">
                  <c:v>1268.5501603026723</c:v>
                </c:pt>
                <c:pt idx="676">
                  <c:v>1267.9819982747028</c:v>
                </c:pt>
                <c:pt idx="677">
                  <c:v>1267.3257172477329</c:v>
                </c:pt>
                <c:pt idx="678">
                  <c:v>1266.5816825073343</c:v>
                </c:pt>
                <c:pt idx="679">
                  <c:v>1265.7502695005687</c:v>
                </c:pt>
                <c:pt idx="680">
                  <c:v>1264.8318636757942</c:v>
                </c:pt>
                <c:pt idx="681">
                  <c:v>1263.8268603227029</c:v>
                </c:pt>
                <c:pt idx="682">
                  <c:v>1262.7356644126376</c:v>
                </c:pt>
                <c:pt idx="683">
                  <c:v>1261.558690439258</c:v>
                </c:pt>
                <c:pt idx="684">
                  <c:v>1260.296362259573</c:v>
                </c:pt>
                <c:pt idx="685">
                  <c:v>1258.9491129354092</c:v>
                </c:pt>
                <c:pt idx="686">
                  <c:v>1257.5173845753586</c:v>
                </c:pt>
                <c:pt idx="687">
                  <c:v>1256.0016281772405</c:v>
                </c:pt>
                <c:pt idx="688">
                  <c:v>1254.402303471134</c:v>
                </c:pt>
                <c:pt idx="689">
                  <c:v>1252.7198787630111</c:v>
                </c:pt>
                <c:pt idx="690">
                  <c:v>1250.9548307790292</c:v>
                </c:pt>
                <c:pt idx="691">
                  <c:v>1249.107644510503</c:v>
                </c:pt>
                <c:pt idx="692">
                  <c:v>1247.1788130596146</c:v>
                </c:pt>
                <c:pt idx="693">
                  <c:v>1245.1688374858902</c:v>
                </c:pt>
                <c:pt idx="694">
                  <c:v>1243.0782266534789</c:v>
                </c:pt>
                <c:pt idx="695">
                  <c:v>1240.9074970792813</c:v>
                </c:pt>
                <c:pt idx="696">
                  <c:v>1238.6571727819505</c:v>
                </c:pt>
                <c:pt idx="697">
                  <c:v>1236.3277851318085</c:v>
                </c:pt>
                <c:pt idx="698">
                  <c:v>1233.9198727017085</c:v>
                </c:pt>
                <c:pt idx="699">
                  <c:v>1231.4339811188761</c:v>
                </c:pt>
                <c:pt idx="700">
                  <c:v>1228.8706629177575</c:v>
                </c:pt>
                <c:pt idx="701">
                  <c:v>1226.2304773939115</c:v>
                </c:pt>
                <c:pt idx="702">
                  <c:v>1223.5139904589685</c:v>
                </c:pt>
                <c:pt idx="703">
                  <c:v>1220.7217744966872</c:v>
                </c:pt>
                <c:pt idx="704">
                  <c:v>1217.854408220137</c:v>
                </c:pt>
                <c:pt idx="705">
                  <c:v>1214.9124765300337</c:v>
                </c:pt>
                <c:pt idx="706">
                  <c:v>1211.8965703742438</c:v>
                </c:pt>
                <c:pt idx="707">
                  <c:v>1208.807286608501</c:v>
                </c:pt>
                <c:pt idx="708">
                  <c:v>1205.6441260845586</c:v>
                </c:pt>
                <c:pt idx="709">
                  <c:v>1202.3978033987612</c:v>
                </c:pt>
                <c:pt idx="710">
                  <c:v>1199.0690244892812</c:v>
                </c:pt>
                <c:pt idx="711">
                  <c:v>1195.6585028966151</c:v>
                </c:pt>
                <c:pt idx="712">
                  <c:v>1192.1669595841338</c:v>
                </c:pt>
                <c:pt idx="713">
                  <c:v>1188.5951227602247</c:v>
                </c:pt>
                <c:pt idx="714">
                  <c:v>1184.9437277020731</c:v>
                </c:pt>
                <c:pt idx="715">
                  <c:v>1181.213516581096</c:v>
                </c:pt>
                <c:pt idx="716">
                  <c:v>1177.405238290082</c:v>
                </c:pt>
                <c:pt idx="717">
                  <c:v>1173.5196482720421</c:v>
                </c:pt>
                <c:pt idx="718">
                  <c:v>1169.5575083508154</c:v>
                </c:pt>
                <c:pt idx="719">
                  <c:v>1165.5195865634466</c:v>
                </c:pt>
                <c:pt idx="720">
                  <c:v>1161.40665699437</c:v>
                </c:pt>
                <c:pt idx="721">
                  <c:v>1157.2194996114106</c:v>
                </c:pt>
                <c:pt idx="722">
                  <c:v>1152.9589001036313</c:v>
                </c:pt>
                <c:pt idx="723">
                  <c:v>1148.6256497210552</c:v>
                </c:pt>
                <c:pt idx="724">
                  <c:v>1144.2205451162656</c:v>
                </c:pt>
                <c:pt idx="725">
                  <c:v>1139.6087645450937</c:v>
                </c:pt>
                <c:pt idx="726">
                  <c:v>1134.7346199841156</c:v>
                </c:pt>
                <c:pt idx="727">
                  <c:v>1129.8904967186236</c:v>
                </c:pt>
                <c:pt idx="728">
                  <c:v>1125.0761460628714</c:v>
                </c:pt>
                <c:pt idx="729">
                  <c:v>1120.291321920565</c:v>
                </c:pt>
                <c:pt idx="730">
                  <c:v>1115.5357807524197</c:v>
                </c:pt>
                <c:pt idx="731">
                  <c:v>1110.8092815441892</c:v>
                </c:pt>
                <c:pt idx="732">
                  <c:v>1106.1115857751661</c:v>
                </c:pt>
                <c:pt idx="733">
                  <c:v>1101.4424573871358</c:v>
                </c:pt>
                <c:pt idx="734">
                  <c:v>1096.8016627537888</c:v>
                </c:pt>
                <c:pt idx="735">
                  <c:v>1092.1889706505722</c:v>
                </c:pt>
                <c:pt idx="736">
                  <c:v>1087.6041522249764</c:v>
                </c:pt>
                <c:pt idx="737">
                  <c:v>1083.0469809672566</c:v>
                </c:pt>
                <c:pt idx="738">
                  <c:v>1078.5172326815739</c:v>
                </c:pt>
                <c:pt idx="739">
                  <c:v>1074.0146854575485</c:v>
                </c:pt>
                <c:pt idx="740">
                  <c:v>1069.5391196422265</c:v>
                </c:pt>
                <c:pt idx="741">
                  <c:v>1065.0903178124468</c:v>
                </c:pt>
                <c:pt idx="742">
                  <c:v>1060.6680647476016</c:v>
                </c:pt>
                <c:pt idx="743">
                  <c:v>1056.2721474027876</c:v>
                </c:pt>
                <c:pt idx="744">
                  <c:v>1051.9023548823354</c:v>
                </c:pt>
                <c:pt idx="745">
                  <c:v>1047.5584784137252</c:v>
                </c:pt>
                <c:pt idx="746">
                  <c:v>1043.2403113218584</c:v>
                </c:pt>
                <c:pt idx="747">
                  <c:v>1038.9476490037066</c:v>
                </c:pt>
                <c:pt idx="748">
                  <c:v>1034.6802889033074</c:v>
                </c:pt>
                <c:pt idx="749">
                  <c:v>1030.4380304871222</c:v>
                </c:pt>
                <c:pt idx="750">
                  <c:v>1026.2206752197344</c:v>
                </c:pt>
                <c:pt idx="751">
                  <c:v>1022.0280265398897</c:v>
                </c:pt>
                <c:pt idx="752">
                  <c:v>1017.8598898368761</c:v>
                </c:pt>
                <c:pt idx="753">
                  <c:v>1013.7160724272276</c:v>
                </c:pt>
                <c:pt idx="754">
                  <c:v>1009.5963835317596</c:v>
                </c:pt>
                <c:pt idx="755">
                  <c:v>1005.5006342529181</c:v>
                </c:pt>
                <c:pt idx="756">
                  <c:v>1001.4286375524476</c:v>
                </c:pt>
                <c:pt idx="757">
                  <c:v>997.38020822936767</c:v>
                </c:pt>
                <c:pt idx="758">
                  <c:v>993.35516289825387</c:v>
                </c:pt>
                <c:pt idx="759">
                  <c:v>989.35331996781917</c:v>
                </c:pt>
                <c:pt idx="760">
                  <c:v>985.37449961978882</c:v>
                </c:pt>
                <c:pt idx="761">
                  <c:v>981.41852378806914</c:v>
                </c:pt>
                <c:pt idx="762">
                  <c:v>977.48521613820094</c:v>
                </c:pt>
                <c:pt idx="763">
                  <c:v>973.5744020470903</c:v>
                </c:pt>
                <c:pt idx="764">
                  <c:v>969.68590858302389</c:v>
                </c:pt>
                <c:pt idx="765">
                  <c:v>965.81956448595361</c:v>
                </c:pt>
                <c:pt idx="766">
                  <c:v>961.97520014804434</c:v>
                </c:pt>
                <c:pt idx="767">
                  <c:v>958.15264759449781</c:v>
                </c:pt>
                <c:pt idx="768">
                  <c:v>954.351740464626</c:v>
                </c:pt>
                <c:pt idx="769">
                  <c:v>950.57231399318391</c:v>
                </c:pt>
                <c:pt idx="770">
                  <c:v>946.81420499195906</c:v>
                </c:pt>
                <c:pt idx="771">
                  <c:v>943.07725183160392</c:v>
                </c:pt>
                <c:pt idx="772">
                  <c:v>939.36129442371191</c:v>
                </c:pt>
                <c:pt idx="773">
                  <c:v>935.66617420314083</c:v>
                </c:pt>
                <c:pt idx="774">
                  <c:v>931.99173411056904</c:v>
                </c:pt>
                <c:pt idx="775">
                  <c:v>928.33781857528004</c:v>
                </c:pt>
                <c:pt idx="776">
                  <c:v>924.70427349818874</c:v>
                </c:pt>
                <c:pt idx="777">
                  <c:v>921.09094623508463</c:v>
                </c:pt>
                <c:pt idx="778">
                  <c:v>917.49768558009885</c:v>
                </c:pt>
                <c:pt idx="779">
                  <c:v>913.92434174939535</c:v>
                </c:pt>
                <c:pt idx="780">
                  <c:v>910.37076636507379</c:v>
                </c:pt>
                <c:pt idx="781">
                  <c:v>906.83681243928777</c:v>
                </c:pt>
                <c:pt idx="782">
                  <c:v>903.32233435857142</c:v>
                </c:pt>
                <c:pt idx="783">
                  <c:v>899.82718786837131</c:v>
                </c:pt>
                <c:pt idx="784">
                  <c:v>896.35123005778655</c:v>
                </c:pt>
                <c:pt idx="785">
                  <c:v>892.89431934450306</c:v>
                </c:pt>
                <c:pt idx="786">
                  <c:v>889.45631545992978</c:v>
                </c:pt>
                <c:pt idx="787">
                  <c:v>886.03707943452605</c:v>
                </c:pt>
                <c:pt idx="788">
                  <c:v>882.63647358332355</c:v>
                </c:pt>
                <c:pt idx="789">
                  <c:v>879.25436149163386</c:v>
                </c:pt>
                <c:pt idx="790">
                  <c:v>875.89060800094296</c:v>
                </c:pt>
                <c:pt idx="791">
                  <c:v>872.54507919499099</c:v>
                </c:pt>
                <c:pt idx="792">
                  <c:v>869.21764238602736</c:v>
                </c:pt>
                <c:pt idx="793">
                  <c:v>865.90816610124887</c:v>
                </c:pt>
                <c:pt idx="794">
                  <c:v>862.61652006940699</c:v>
                </c:pt>
                <c:pt idx="795">
                  <c:v>859.3425752075957</c:v>
                </c:pt>
                <c:pt idx="796">
                  <c:v>856.086203608201</c:v>
                </c:pt>
                <c:pt idx="797">
                  <c:v>852.847278526021</c:v>
                </c:pt>
                <c:pt idx="798">
                  <c:v>849.62567436555366</c:v>
                </c:pt>
                <c:pt idx="799">
                  <c:v>846.42126666844138</c:v>
                </c:pt>
                <c:pt idx="800">
                  <c:v>843.23393210108225</c:v>
                </c:pt>
                <c:pt idx="801">
                  <c:v>811.86894211111041</c:v>
                </c:pt>
                <c:pt idx="802">
                  <c:v>782.13207407597054</c:v>
                </c:pt>
                <c:pt idx="803">
                  <c:v>753.91124115528169</c:v>
                </c:pt>
                <c:pt idx="804">
                  <c:v>727.10393380588357</c:v>
                </c:pt>
                <c:pt idx="805">
                  <c:v>701.61624806261602</c:v>
                </c:pt>
                <c:pt idx="806">
                  <c:v>677.36202747202594</c:v>
                </c:pt>
                <c:pt idx="807">
                  <c:v>654.26210368135958</c:v>
                </c:pt>
                <c:pt idx="808">
                  <c:v>632.24362288207362</c:v>
                </c:pt>
                <c:pt idx="809">
                  <c:v>611.23944715124344</c:v>
                </c:pt>
                <c:pt idx="810">
                  <c:v>591.187621287198</c:v>
                </c:pt>
                <c:pt idx="811">
                  <c:v>572.03089704723902</c:v>
                </c:pt>
                <c:pt idx="812">
                  <c:v>553.7163078062523</c:v>
                </c:pt>
                <c:pt idx="813">
                  <c:v>536.19478759862136</c:v>
                </c:pt>
                <c:pt idx="814">
                  <c:v>519.42082930951517</c:v>
                </c:pt>
                <c:pt idx="815">
                  <c:v>503.3521774678801</c:v>
                </c:pt>
                <c:pt idx="816">
                  <c:v>487.94955168093242</c:v>
                </c:pt>
                <c:pt idx="817">
                  <c:v>473.17639725411476</c:v>
                </c:pt>
                <c:pt idx="818">
                  <c:v>458.99865997412974</c:v>
                </c:pt>
                <c:pt idx="819">
                  <c:v>445.38458240657576</c:v>
                </c:pt>
                <c:pt idx="820">
                  <c:v>432.30451938278065</c:v>
                </c:pt>
                <c:pt idx="821">
                  <c:v>419.73077063020952</c:v>
                </c:pt>
                <c:pt idx="822">
                  <c:v>407.63742874360366</c:v>
                </c:pt>
                <c:pt idx="823">
                  <c:v>396.0002409051188</c:v>
                </c:pt>
                <c:pt idx="824">
                  <c:v>384.79648294566357</c:v>
                </c:pt>
                <c:pt idx="825">
                  <c:v>374.00484450020178</c:v>
                </c:pt>
                <c:pt idx="826">
                  <c:v>363.60532415021032</c:v>
                </c:pt>
                <c:pt idx="827">
                  <c:v>353.57913356951332</c:v>
                </c:pt>
                <c:pt idx="828">
                  <c:v>343.90860979771071</c:v>
                </c:pt>
                <c:pt idx="829">
                  <c:v>334.57713486036067</c:v>
                </c:pt>
                <c:pt idx="830">
                  <c:v>325.56906203870329</c:v>
                </c:pt>
                <c:pt idx="831">
                  <c:v>316.869648165473</c:v>
                </c:pt>
                <c:pt idx="832">
                  <c:v>308.46499138852448</c:v>
                </c:pt>
                <c:pt idx="833">
                  <c:v>300.34197390167901</c:v>
                </c:pt>
                <c:pt idx="834">
                  <c:v>292.48820919330183</c:v>
                </c:pt>
                <c:pt idx="835">
                  <c:v>284.89199340849922</c:v>
                </c:pt>
                <c:pt idx="836">
                  <c:v>277.54226046114906</c:v>
                </c:pt>
                <c:pt idx="837">
                  <c:v>270.42854056786507</c:v>
                </c:pt>
                <c:pt idx="838">
                  <c:v>263.54092190799781</c:v>
                </c:pt>
                <c:pt idx="839">
                  <c:v>256.87001514232264</c:v>
                </c:pt>
                <c:pt idx="840">
                  <c:v>250.40692054858641</c:v>
                </c:pt>
                <c:pt idx="841">
                  <c:v>244.14319755491996</c:v>
                </c:pt>
                <c:pt idx="842">
                  <c:v>238.07083647257721</c:v>
                </c:pt>
                <c:pt idx="843">
                  <c:v>232.18223224782196</c:v>
                </c:pt>
                <c:pt idx="844">
                  <c:v>226.47016006925776</c:v>
                </c:pt>
                <c:pt idx="845">
                  <c:v>220.92775268172269</c:v>
                </c:pt>
                <c:pt idx="846">
                  <c:v>215.54847927120747</c:v>
                </c:pt>
                <c:pt idx="847">
                  <c:v>210.32612579728379</c:v>
                </c:pt>
                <c:pt idx="848">
                  <c:v>205.25477666036963</c:v>
                </c:pt>
                <c:pt idx="849">
                  <c:v>200.32879760096424</c:v>
                </c:pt>
                <c:pt idx="850">
                  <c:v>195.54281973683285</c:v>
                </c:pt>
                <c:pt idx="851">
                  <c:v>190.89172465214671</c:v>
                </c:pt>
                <c:pt idx="852">
                  <c:v>186.37063045983794</c:v>
                </c:pt>
                <c:pt idx="853">
                  <c:v>181.97487876502151</c:v>
                </c:pt>
                <c:pt idx="854">
                  <c:v>177.70002246330981</c:v>
                </c:pt>
                <c:pt idx="855">
                  <c:v>173.54181431327839</c:v>
                </c:pt>
                <c:pt idx="856">
                  <c:v>169.49619622728275</c:v>
                </c:pt>
                <c:pt idx="857">
                  <c:v>165.55928922931886</c:v>
                </c:pt>
                <c:pt idx="858">
                  <c:v>161.72738403272078</c:v>
                </c:pt>
                <c:pt idx="859">
                  <c:v>157.99693219422002</c:v>
                </c:pt>
                <c:pt idx="860">
                  <c:v>154.36453780430435</c:v>
                </c:pt>
                <c:pt idx="861">
                  <c:v>150.8269496769249</c:v>
                </c:pt>
                <c:pt idx="862">
                  <c:v>147.38105400445016</c:v>
                </c:pt>
                <c:pt idx="863">
                  <c:v>144.02386744636695</c:v>
                </c:pt>
                <c:pt idx="864">
                  <c:v>140.75253062261649</c:v>
                </c:pt>
                <c:pt idx="865">
                  <c:v>137.56430198463821</c:v>
                </c:pt>
                <c:pt idx="866">
                  <c:v>134.45655203919776</c:v>
                </c:pt>
                <c:pt idx="867">
                  <c:v>131.42675790191666</c:v>
                </c:pt>
                <c:pt idx="868">
                  <c:v>128.47249815910999</c:v>
                </c:pt>
                <c:pt idx="869">
                  <c:v>125.59144801809192</c:v>
                </c:pt>
                <c:pt idx="870">
                  <c:v>122.78137472753656</c:v>
                </c:pt>
                <c:pt idx="871">
                  <c:v>120.04013325079914</c:v>
                </c:pt>
                <c:pt idx="872">
                  <c:v>117.36566217630958</c:v>
                </c:pt>
                <c:pt idx="873">
                  <c:v>114.75597985027137</c:v>
                </c:pt>
                <c:pt idx="874">
                  <c:v>112.20918071792491</c:v>
                </c:pt>
                <c:pt idx="875">
                  <c:v>109.72343186058694</c:v>
                </c:pt>
                <c:pt idx="876">
                  <c:v>107.29696971655434</c:v>
                </c:pt>
                <c:pt idx="877">
                  <c:v>104.9280969747722</c:v>
                </c:pt>
                <c:pt idx="878">
                  <c:v>102.61517963091624</c:v>
                </c:pt>
                <c:pt idx="879">
                  <c:v>100.35664419623336</c:v>
                </c:pt>
                <c:pt idx="880">
                  <c:v>98.150975050127073</c:v>
                </c:pt>
                <c:pt idx="881">
                  <c:v>95.996711928069786</c:v>
                </c:pt>
                <c:pt idx="882">
                  <c:v>93.892447536975638</c:v>
                </c:pt>
                <c:pt idx="883">
                  <c:v>91.836825290679968</c:v>
                </c:pt>
                <c:pt idx="884">
                  <c:v>89.828537158645389</c:v>
                </c:pt>
                <c:pt idx="885">
                  <c:v>87.866321621457374</c:v>
                </c:pt>
                <c:pt idx="886">
                  <c:v>85.948961727079748</c:v>
                </c:pt>
                <c:pt idx="887">
                  <c:v>84.075283242223975</c:v>
                </c:pt>
                <c:pt idx="888">
                  <c:v>82.244152893537859</c:v>
                </c:pt>
                <c:pt idx="889">
                  <c:v>80.454476693650989</c:v>
                </c:pt>
                <c:pt idx="890">
                  <c:v>78.705198347420506</c:v>
                </c:pt>
                <c:pt idx="891">
                  <c:v>76.995297734006485</c:v>
                </c:pt>
                <c:pt idx="892">
                  <c:v>75.323789460672913</c:v>
                </c:pt>
                <c:pt idx="893">
                  <c:v>73.689721484459099</c:v>
                </c:pt>
                <c:pt idx="894">
                  <c:v>72.092173798097747</c:v>
                </c:pt>
                <c:pt idx="895">
                  <c:v>70.530257176772565</c:v>
                </c:pt>
                <c:pt idx="896">
                  <c:v>69.003111982510021</c:v>
                </c:pt>
                <c:pt idx="897">
                  <c:v>67.509907023189427</c:v>
                </c:pt>
                <c:pt idx="898">
                  <c:v>66.049838463330801</c:v>
                </c:pt>
                <c:pt idx="899">
                  <c:v>64.622128783985914</c:v>
                </c:pt>
                <c:pt idx="900">
                  <c:v>63.226025789212009</c:v>
                </c:pt>
                <c:pt idx="901">
                  <c:v>61.860801656751974</c:v>
                </c:pt>
                <c:pt idx="902">
                  <c:v>60.525752030679861</c:v>
                </c:pt>
                <c:pt idx="903">
                  <c:v>59.220195153897983</c:v>
                </c:pt>
                <c:pt idx="904">
                  <c:v>57.943471038489896</c:v>
                </c:pt>
                <c:pt idx="905">
                  <c:v>56.694940672045107</c:v>
                </c:pt>
                <c:pt idx="906">
                  <c:v>55.473985258175588</c:v>
                </c:pt>
                <c:pt idx="907">
                  <c:v>54.280005489542567</c:v>
                </c:pt>
                <c:pt idx="908">
                  <c:v>53.112420851803293</c:v>
                </c:pt>
                <c:pt idx="909">
                  <c:v>51.970668956974208</c:v>
                </c:pt>
                <c:pt idx="910">
                  <c:v>50.854204904787714</c:v>
                </c:pt>
                <c:pt idx="911">
                  <c:v>49.762500670696539</c:v>
                </c:pt>
                <c:pt idx="912">
                  <c:v>48.695044519250139</c:v>
                </c:pt>
                <c:pt idx="913">
                  <c:v>47.651340441635845</c:v>
                </c:pt>
                <c:pt idx="914">
                  <c:v>46.630907616240357</c:v>
                </c:pt>
                <c:pt idx="915">
                  <c:v>45.633279891146842</c:v>
                </c:pt>
                <c:pt idx="916">
                  <c:v>44.658005287538764</c:v>
                </c:pt>
                <c:pt idx="917">
                  <c:v>43.704645523034344</c:v>
                </c:pt>
                <c:pt idx="918">
                  <c:v>42.772775554025586</c:v>
                </c:pt>
                <c:pt idx="919">
                  <c:v>41.861983136142179</c:v>
                </c:pt>
                <c:pt idx="920">
                  <c:v>40.971868402004695</c:v>
                </c:pt>
                <c:pt idx="921">
                  <c:v>40.102043455473542</c:v>
                </c:pt>
                <c:pt idx="922">
                  <c:v>39.252131981638591</c:v>
                </c:pt>
                <c:pt idx="923">
                  <c:v>38.421768871831979</c:v>
                </c:pt>
                <c:pt idx="924">
                  <c:v>37.61059986298099</c:v>
                </c:pt>
                <c:pt idx="925">
                  <c:v>36.818281190651184</c:v>
                </c:pt>
                <c:pt idx="926">
                  <c:v>36.044479255160539</c:v>
                </c:pt>
                <c:pt idx="927">
                  <c:v>35.288870300175034</c:v>
                </c:pt>
                <c:pt idx="928">
                  <c:v>34.551140103223695</c:v>
                </c:pt>
                <c:pt idx="929">
                  <c:v>33.830983677596855</c:v>
                </c:pt>
                <c:pt idx="930">
                  <c:v>33.128104985116828</c:v>
                </c:pt>
                <c:pt idx="931">
                  <c:v>32.442216659292683</c:v>
                </c:pt>
                <c:pt idx="932">
                  <c:v>31.773039738393408</c:v>
                </c:pt>
                <c:pt idx="933">
                  <c:v>31.12030340799452</c:v>
                </c:pt>
                <c:pt idx="934">
                  <c:v>30.483744752572594</c:v>
                </c:pt>
                <c:pt idx="935">
                  <c:v>29.863108515741342</c:v>
                </c:pt>
                <c:pt idx="936">
                  <c:v>29.258146868740091</c:v>
                </c:pt>
                <c:pt idx="937">
                  <c:v>28.668619186802548</c:v>
                </c:pt>
                <c:pt idx="938">
                  <c:v>28.094291833049443</c:v>
                </c:pt>
                <c:pt idx="939">
                  <c:v>27.53493794956406</c:v>
                </c:pt>
                <c:pt idx="940">
                  <c:v>26.990337255323052</c:v>
                </c:pt>
                <c:pt idx="941">
                  <c:v>26.460275850670005</c:v>
                </c:pt>
                <c:pt idx="942">
                  <c:v>25.944546028030487</c:v>
                </c:pt>
                <c:pt idx="943">
                  <c:v>25.442946088580907</c:v>
                </c:pt>
                <c:pt idx="944">
                  <c:v>24.955280164594512</c:v>
                </c:pt>
                <c:pt idx="945">
                  <c:v>24.481358047199379</c:v>
                </c:pt>
                <c:pt idx="946">
                  <c:v>24.020995019293796</c:v>
                </c:pt>
                <c:pt idx="947">
                  <c:v>23.574011693374835</c:v>
                </c:pt>
                <c:pt idx="948">
                  <c:v>23.140233854045608</c:v>
                </c:pt>
                <c:pt idx="949">
                  <c:v>22.719492304976423</c:v>
                </c:pt>
                <c:pt idx="950">
                  <c:v>22.311622720103863</c:v>
                </c:pt>
                <c:pt idx="951">
                  <c:v>21.916465498861037</c:v>
                </c:pt>
                <c:pt idx="952">
                  <c:v>21.533865625240516</c:v>
                </c:pt>
                <c:pt idx="953">
                  <c:v>21.163672530499987</c:v>
                </c:pt>
                <c:pt idx="954">
                  <c:v>20.805739959328886</c:v>
                </c:pt>
                <c:pt idx="955">
                  <c:v>20.459925839301761</c:v>
                </c:pt>
                <c:pt idx="956">
                  <c:v>20.126092153452749</c:v>
                </c:pt>
                <c:pt idx="957">
                  <c:v>19.804104815812391</c:v>
                </c:pt>
                <c:pt idx="958">
                  <c:v>19.493833549756168</c:v>
                </c:pt>
                <c:pt idx="959">
                  <c:v>19.195151769021564</c:v>
                </c:pt>
                <c:pt idx="960">
                  <c:v>18.907936461257609</c:v>
                </c:pt>
                <c:pt idx="961">
                  <c:v>18.632068073978921</c:v>
                </c:pt>
                <c:pt idx="962">
                  <c:v>18.367430402802778</c:v>
                </c:pt>
                <c:pt idx="963">
                  <c:v>18.113910481856134</c:v>
                </c:pt>
                <c:pt idx="964">
                  <c:v>17.871398476245997</c:v>
                </c:pt>
                <c:pt idx="965">
                  <c:v>17.639787576494452</c:v>
                </c:pt>
                <c:pt idx="966">
                  <c:v>17.418973894846939</c:v>
                </c:pt>
                <c:pt idx="967">
                  <c:v>17.208856363369502</c:v>
                </c:pt>
                <c:pt idx="968">
                  <c:v>17.009336633758281</c:v>
                </c:pt>
                <c:pt idx="969">
                  <c:v>16.820318978791928</c:v>
                </c:pt>
                <c:pt idx="970">
                  <c:v>16.641710195364546</c:v>
                </c:pt>
                <c:pt idx="971">
                  <c:v>16.473419509044327</c:v>
                </c:pt>
                <c:pt idx="972">
                  <c:v>16.315358480110106</c:v>
                </c:pt>
                <c:pt idx="973">
                  <c:v>16.167440911024844</c:v>
                </c:pt>
                <c:pt idx="974">
                  <c:v>16.029582755312383</c:v>
                </c:pt>
                <c:pt idx="975">
                  <c:v>15.901702027810133</c:v>
                </c:pt>
                <c:pt idx="976">
                  <c:v>15.783718716277061</c:v>
                </c:pt>
                <c:pt idx="977">
                  <c:v>15.67555469434274</c:v>
                </c:pt>
                <c:pt idx="978">
                  <c:v>15.577133635788964</c:v>
                </c:pt>
                <c:pt idx="979">
                  <c:v>15.488380930161386</c:v>
                </c:pt>
                <c:pt idx="980">
                  <c:v>15.409223599713869</c:v>
                </c:pt>
                <c:pt idx="981">
                  <c:v>15.339590217693365</c:v>
                </c:pt>
                <c:pt idx="982">
                  <c:v>15.279410827977395</c:v>
                </c:pt>
                <c:pt idx="983">
                  <c:v>15.22861686608087</c:v>
                </c:pt>
                <c:pt idx="984">
                  <c:v>15.187141081552044</c:v>
                </c:pt>
                <c:pt idx="985">
                  <c:v>15.154917461781135</c:v>
                </c:pt>
                <c:pt idx="986">
                  <c:v>15.131881157247376</c:v>
                </c:pt>
                <c:pt idx="987">
                  <c:v>15.117968408232823</c:v>
                </c:pt>
                <c:pt idx="988">
                  <c:v>15.113116473032536</c:v>
                </c:pt>
                <c:pt idx="989">
                  <c:v>15.117263557692098</c:v>
                </c:pt>
                <c:pt idx="990">
                  <c:v>15.130348747303991</c:v>
                </c:pt>
                <c:pt idx="991">
                  <c:v>15.152311938894419</c:v>
                </c:pt>
                <c:pt idx="992">
                  <c:v>15.183093775931795</c:v>
                </c:pt>
                <c:pt idx="993">
                  <c:v>15.222635584487325</c:v>
                </c:pt>
                <c:pt idx="994">
                  <c:v>15.27087931107676</c:v>
                </c:pt>
                <c:pt idx="995">
                  <c:v>15.327767462210778</c:v>
                </c:pt>
                <c:pt idx="996">
                  <c:v>15.393243045679348</c:v>
                </c:pt>
                <c:pt idx="997">
                  <c:v>15.467249513593115</c:v>
                </c:pt>
                <c:pt idx="998">
                  <c:v>15.549730707202194</c:v>
                </c:pt>
                <c:pt idx="999">
                  <c:v>15.640630803509731</c:v>
                </c:pt>
                <c:pt idx="1000">
                  <c:v>15.739894263694735</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Calculs!$I$4:$I$1004</c:f>
              <c:numCache>
                <c:formatCode>0.00</c:formatCode>
                <c:ptCount val="1001"/>
                <c:pt idx="0">
                  <c:v>0</c:v>
                </c:pt>
                <c:pt idx="1">
                  <c:v>0</c:v>
                </c:pt>
                <c:pt idx="2">
                  <c:v>0.1242742942704743</c:v>
                </c:pt>
                <c:pt idx="3">
                  <c:v>0.39464977927090522</c:v>
                </c:pt>
                <c:pt idx="4">
                  <c:v>0.81123517686050695</c:v>
                </c:pt>
                <c:pt idx="5">
                  <c:v>1.3178191758216635</c:v>
                </c:pt>
                <c:pt idx="6">
                  <c:v>1.8581218743693442</c:v>
                </c:pt>
                <c:pt idx="7">
                  <c:v>2.4321805872038906</c:v>
                </c:pt>
                <c:pt idx="8">
                  <c:v>3.0400343844164497</c:v>
                </c:pt>
                <c:pt idx="9">
                  <c:v>3.6663890792414078</c:v>
                </c:pt>
                <c:pt idx="10">
                  <c:v>4.2959244735502535</c:v>
                </c:pt>
                <c:pt idx="11">
                  <c:v>4.9286421418161517</c:v>
                </c:pt>
                <c:pt idx="12">
                  <c:v>5.5645436407477256</c:v>
                </c:pt>
                <c:pt idx="13">
                  <c:v>6.2036305090764179</c:v>
                </c:pt>
                <c:pt idx="14">
                  <c:v>6.8459042673434229</c:v>
                </c:pt>
                <c:pt idx="15">
                  <c:v>7.4913664176862067</c:v>
                </c:pt>
                <c:pt idx="16">
                  <c:v>8.1400184436246192</c:v>
                </c:pt>
                <c:pt idx="17">
                  <c:v>8.791861809846603</c:v>
                </c:pt>
                <c:pt idx="18">
                  <c:v>9.4468979619935105</c:v>
                </c:pt>
                <c:pt idx="19">
                  <c:v>10.105128326445017</c:v>
                </c:pt>
                <c:pt idx="20">
                  <c:v>10.766554310103691</c:v>
                </c:pt>
                <c:pt idx="21">
                  <c:v>11.430103750931902</c:v>
                </c:pt>
                <c:pt idx="22">
                  <c:v>12.094165551928981</c:v>
                </c:pt>
                <c:pt idx="23">
                  <c:v>12.758737561069072</c:v>
                </c:pt>
                <c:pt idx="24">
                  <c:v>13.423817617705419</c:v>
                </c:pt>
                <c:pt idx="25">
                  <c:v>14.089403552594593</c:v>
                </c:pt>
                <c:pt idx="26">
                  <c:v>14.755493187921077</c:v>
                </c:pt>
                <c:pt idx="27">
                  <c:v>15.422084337322142</c:v>
                </c:pt>
                <c:pt idx="28">
                  <c:v>16.089174805913093</c:v>
                </c:pt>
                <c:pt idx="29">
                  <c:v>16.756762390312829</c:v>
                </c:pt>
                <c:pt idx="30">
                  <c:v>17.424844878669763</c:v>
                </c:pt>
                <c:pt idx="31">
                  <c:v>18.09342005068801</c:v>
                </c:pt>
                <c:pt idx="32">
                  <c:v>18.762485677653991</c:v>
                </c:pt>
                <c:pt idx="33">
                  <c:v>19.43203952246331</c:v>
                </c:pt>
                <c:pt idx="34">
                  <c:v>20.102079339647993</c:v>
                </c:pt>
                <c:pt idx="35">
                  <c:v>20.772602875404047</c:v>
                </c:pt>
                <c:pt idx="36">
                  <c:v>21.443607867619349</c:v>
                </c:pt>
                <c:pt idx="37">
                  <c:v>22.115092045901889</c:v>
                </c:pt>
                <c:pt idx="38">
                  <c:v>22.787053131608307</c:v>
                </c:pt>
                <c:pt idx="39">
                  <c:v>23.459488837872808</c:v>
                </c:pt>
                <c:pt idx="40">
                  <c:v>24.132409791134574</c:v>
                </c:pt>
                <c:pt idx="41">
                  <c:v>24.8058272670051</c:v>
                </c:pt>
                <c:pt idx="42">
                  <c:v>25.479738438286915</c:v>
                </c:pt>
                <c:pt idx="43">
                  <c:v>26.154140491998788</c:v>
                </c:pt>
                <c:pt idx="44">
                  <c:v>26.829030627769349</c:v>
                </c:pt>
                <c:pt idx="45">
                  <c:v>27.504406056484878</c:v>
                </c:pt>
                <c:pt idx="46">
                  <c:v>28.180502337485407</c:v>
                </c:pt>
                <c:pt idx="47">
                  <c:v>28.85737660380763</c:v>
                </c:pt>
                <c:pt idx="48">
                  <c:v>29.535026454224763</c:v>
                </c:pt>
                <c:pt idx="49">
                  <c:v>30.213449491499247</c:v>
                </c:pt>
                <c:pt idx="50">
                  <c:v>30.892643321529917</c:v>
                </c:pt>
                <c:pt idx="51">
                  <c:v>31.572605552567506</c:v>
                </c:pt>
                <c:pt idx="52">
                  <c:v>32.253333794491972</c:v>
                </c:pt>
                <c:pt idx="53">
                  <c:v>32.934825658145705</c:v>
                </c:pt>
                <c:pt idx="54">
                  <c:v>33.617078754717475</c:v>
                </c:pt>
                <c:pt idx="55">
                  <c:v>34.300090695172422</c:v>
                </c:pt>
                <c:pt idx="56">
                  <c:v>34.983859089724035</c:v>
                </c:pt>
                <c:pt idx="57">
                  <c:v>35.668381547344424</c:v>
                </c:pt>
                <c:pt idx="58">
                  <c:v>36.353655675309618</c:v>
                </c:pt>
                <c:pt idx="59">
                  <c:v>37.039679078776864</c:v>
                </c:pt>
                <c:pt idx="60">
                  <c:v>37.726449360391399</c:v>
                </c:pt>
                <c:pt idx="61">
                  <c:v>38.413964119920188</c:v>
                </c:pt>
                <c:pt idx="62">
                  <c:v>39.102220953910589</c:v>
                </c:pt>
                <c:pt idx="63">
                  <c:v>39.791217455371886</c:v>
                </c:pt>
                <c:pt idx="64">
                  <c:v>40.48095121347805</c:v>
                </c:pt>
                <c:pt idx="65">
                  <c:v>41.171419813290029</c:v>
                </c:pt>
                <c:pt idx="66">
                  <c:v>41.86262083549618</c:v>
                </c:pt>
                <c:pt idx="67">
                  <c:v>42.554551856169503</c:v>
                </c:pt>
                <c:pt idx="68">
                  <c:v>43.2472104465405</c:v>
                </c:pt>
                <c:pt idx="69">
                  <c:v>43.944295195336458</c:v>
                </c:pt>
                <c:pt idx="70">
                  <c:v>44.64739490303689</c:v>
                </c:pt>
                <c:pt idx="71">
                  <c:v>45.356513302365151</c:v>
                </c:pt>
                <c:pt idx="72">
                  <c:v>46.071654118847498</c:v>
                </c:pt>
                <c:pt idx="73">
                  <c:v>46.792821070118002</c:v>
                </c:pt>
                <c:pt idx="74">
                  <c:v>47.5200178652223</c:v>
                </c:pt>
                <c:pt idx="75">
                  <c:v>48.253248203920151</c:v>
                </c:pt>
                <c:pt idx="76">
                  <c:v>48.99251577598676</c:v>
                </c:pt>
                <c:pt idx="77">
                  <c:v>49.730997148262091</c:v>
                </c:pt>
                <c:pt idx="78">
                  <c:v>50.465760332966752</c:v>
                </c:pt>
                <c:pt idx="79">
                  <c:v>51.196797249132565</c:v>
                </c:pt>
                <c:pt idx="80">
                  <c:v>51.924099890239788</c:v>
                </c:pt>
                <c:pt idx="81">
                  <c:v>52.647660324089877</c:v>
                </c:pt>
                <c:pt idx="82">
                  <c:v>53.367470692687114</c:v>
                </c:pt>
                <c:pt idx="83">
                  <c:v>54.083523212127922</c:v>
                </c:pt>
                <c:pt idx="84">
                  <c:v>54.795810172497049</c:v>
                </c:pt>
                <c:pt idx="85">
                  <c:v>55.504323937769719</c:v>
                </c:pt>
                <c:pt idx="86">
                  <c:v>56.209983445056828</c:v>
                </c:pt>
                <c:pt idx="87">
                  <c:v>56.916490015574183</c:v>
                </c:pt>
                <c:pt idx="88">
                  <c:v>57.623841274663093</c:v>
                </c:pt>
                <c:pt idx="89">
                  <c:v>58.332034838634655</c:v>
                </c:pt>
                <c:pt idx="90">
                  <c:v>59.04106831471195</c:v>
                </c:pt>
                <c:pt idx="91">
                  <c:v>59.750939300975894</c:v>
                </c:pt>
                <c:pt idx="92">
                  <c:v>60.461645386314579</c:v>
                </c:pt>
                <c:pt idx="93">
                  <c:v>61.173184150375945</c:v>
                </c:pt>
                <c:pt idx="94">
                  <c:v>61.885553163523745</c:v>
                </c:pt>
                <c:pt idx="95">
                  <c:v>62.598749986796399</c:v>
                </c:pt>
                <c:pt idx="96">
                  <c:v>63.312772171868936</c:v>
                </c:pt>
                <c:pt idx="97">
                  <c:v>64.027617261017625</c:v>
                </c:pt>
                <c:pt idx="98">
                  <c:v>64.743282787087395</c:v>
                </c:pt>
                <c:pt idx="99">
                  <c:v>65.45976627346171</c:v>
                </c:pt>
                <c:pt idx="100">
                  <c:v>66.177065234035098</c:v>
                </c:pt>
                <c:pt idx="101">
                  <c:v>66.895177173187804</c:v>
                </c:pt>
                <c:pt idx="102">
                  <c:v>67.614099585763071</c:v>
                </c:pt>
                <c:pt idx="103">
                  <c:v>68.333829957046319</c:v>
                </c:pt>
                <c:pt idx="104">
                  <c:v>69.054365762746627</c:v>
                </c:pt>
                <c:pt idx="105">
                  <c:v>69.775704468980223</c:v>
                </c:pt>
                <c:pt idx="106">
                  <c:v>70.497843532255928</c:v>
                </c:pt>
                <c:pt idx="107">
                  <c:v>71.220780399462527</c:v>
                </c:pt>
                <c:pt idx="108">
                  <c:v>71.944512507858008</c:v>
                </c:pt>
                <c:pt idx="109">
                  <c:v>72.669037285060526</c:v>
                </c:pt>
                <c:pt idx="110">
                  <c:v>73.394352149041197</c:v>
                </c:pt>
                <c:pt idx="111">
                  <c:v>74.120454508118428</c:v>
                </c:pt>
                <c:pt idx="112">
                  <c:v>74.847341760953952</c:v>
                </c:pt>
                <c:pt idx="113">
                  <c:v>75.575011296550457</c:v>
                </c:pt>
                <c:pt idx="114">
                  <c:v>76.3034604942507</c:v>
                </c:pt>
                <c:pt idx="115">
                  <c:v>77.032686723738067</c:v>
                </c:pt>
                <c:pt idx="116">
                  <c:v>77.762687345038628</c:v>
                </c:pt>
                <c:pt idx="117">
                  <c:v>78.493459708524554</c:v>
                </c:pt>
                <c:pt idx="118">
                  <c:v>79.225001154918957</c:v>
                </c:pt>
                <c:pt idx="119">
                  <c:v>79.957309015301931</c:v>
                </c:pt>
                <c:pt idx="120">
                  <c:v>80.690380611118002</c:v>
                </c:pt>
                <c:pt idx="121">
                  <c:v>81.424213254184806</c:v>
                </c:pt>
                <c:pt idx="122">
                  <c:v>82.158804246702971</c:v>
                </c:pt>
                <c:pt idx="123">
                  <c:v>82.894150881267095</c:v>
                </c:pt>
                <c:pt idx="124">
                  <c:v>83.630250440878129</c:v>
                </c:pt>
                <c:pt idx="125">
                  <c:v>84.367100198956692</c:v>
                </c:pt>
                <c:pt idx="126">
                  <c:v>85.104697419357592</c:v>
                </c:pt>
                <c:pt idx="127">
                  <c:v>85.843039356385333</c:v>
                </c:pt>
                <c:pt idx="128">
                  <c:v>86.582123254810895</c:v>
                </c:pt>
                <c:pt idx="129">
                  <c:v>87.321946349889345</c:v>
                </c:pt>
                <c:pt idx="130">
                  <c:v>88.062505867378505</c:v>
                </c:pt>
                <c:pt idx="131">
                  <c:v>88.803799023558767</c:v>
                </c:pt>
                <c:pt idx="132">
                  <c:v>89.545823025253711</c:v>
                </c:pt>
                <c:pt idx="133">
                  <c:v>90.288575069851746</c:v>
                </c:pt>
                <c:pt idx="134">
                  <c:v>91.032052345328751</c:v>
                </c:pt>
                <c:pt idx="135">
                  <c:v>91.776252030271536</c:v>
                </c:pt>
                <c:pt idx="136">
                  <c:v>92.521171293902285</c:v>
                </c:pt>
                <c:pt idx="137">
                  <c:v>93.266807296103863</c:v>
                </c:pt>
                <c:pt idx="138">
                  <c:v>94.013157187445998</c:v>
                </c:pt>
                <c:pt idx="139">
                  <c:v>94.760218109212303</c:v>
                </c:pt>
                <c:pt idx="140">
                  <c:v>95.507987193428249</c:v>
                </c:pt>
                <c:pt idx="141">
                  <c:v>96.256461562889783</c:v>
                </c:pt>
                <c:pt idx="142">
                  <c:v>97.005638331192941</c:v>
                </c:pt>
                <c:pt idx="143">
                  <c:v>97.755514602764165</c:v>
                </c:pt>
                <c:pt idx="144">
                  <c:v>98.506087472891437</c:v>
                </c:pt>
                <c:pt idx="145">
                  <c:v>99.257354027756236</c:v>
                </c:pt>
                <c:pt idx="146">
                  <c:v>100.0093113444662</c:v>
                </c:pt>
                <c:pt idx="147">
                  <c:v>100.7619564910886</c:v>
                </c:pt>
                <c:pt idx="148">
                  <c:v>101.51528652668449</c:v>
                </c:pt>
                <c:pt idx="149">
                  <c:v>102.26929850134371</c:v>
                </c:pt>
                <c:pt idx="150">
                  <c:v>103.02398945622048</c:v>
                </c:pt>
                <c:pt idx="151">
                  <c:v>103.77935642356984</c:v>
                </c:pt>
                <c:pt idx="152">
                  <c:v>104.53539642678473</c:v>
                </c:pt>
                <c:pt idx="153">
                  <c:v>105.29210648043372</c:v>
                </c:pt>
                <c:pt idx="154">
                  <c:v>106.04948359029959</c:v>
                </c:pt>
                <c:pt idx="155">
                  <c:v>106.80752475341838</c:v>
                </c:pt>
                <c:pt idx="156">
                  <c:v>107.56622695811932</c:v>
                </c:pt>
                <c:pt idx="157">
                  <c:v>108.32558718406527</c:v>
                </c:pt>
                <c:pt idx="158">
                  <c:v>109.08560240229389</c:v>
                </c:pt>
                <c:pt idx="159">
                  <c:v>109.84626957525948</c:v>
                </c:pt>
                <c:pt idx="160">
                  <c:v>110.60758565687539</c:v>
                </c:pt>
                <c:pt idx="161">
                  <c:v>111.36954759255707</c:v>
                </c:pt>
                <c:pt idx="162">
                  <c:v>112.1321523192659</c:v>
                </c:pt>
                <c:pt idx="163">
                  <c:v>112.89539676555341</c:v>
                </c:pt>
                <c:pt idx="164">
                  <c:v>113.6592778516063</c:v>
                </c:pt>
                <c:pt idx="165">
                  <c:v>114.42379248929193</c:v>
                </c:pt>
                <c:pt idx="166">
                  <c:v>115.18893758220455</c:v>
                </c:pt>
                <c:pt idx="167">
                  <c:v>115.95471002571203</c:v>
                </c:pt>
                <c:pt idx="168">
                  <c:v>116.72110670700313</c:v>
                </c:pt>
                <c:pt idx="169">
                  <c:v>117.48812450513559</c:v>
                </c:pt>
                <c:pt idx="170">
                  <c:v>118.2557602910844</c:v>
                </c:pt>
                <c:pt idx="171">
                  <c:v>119.02401092779114</c:v>
                </c:pt>
                <c:pt idx="172">
                  <c:v>119.79287327021342</c:v>
                </c:pt>
                <c:pt idx="173">
                  <c:v>120.56234416537515</c:v>
                </c:pt>
                <c:pt idx="174">
                  <c:v>121.33242045241735</c:v>
                </c:pt>
                <c:pt idx="175">
                  <c:v>122.10309896264934</c:v>
                </c:pt>
                <c:pt idx="176">
                  <c:v>122.87437651960073</c:v>
                </c:pt>
                <c:pt idx="177">
                  <c:v>123.64624993907368</c:v>
                </c:pt>
                <c:pt idx="178">
                  <c:v>124.41871602919595</c:v>
                </c:pt>
                <c:pt idx="179">
                  <c:v>125.19177159047423</c:v>
                </c:pt>
                <c:pt idx="180">
                  <c:v>125.96541341584823</c:v>
                </c:pt>
                <c:pt idx="181">
                  <c:v>126.73963829074512</c:v>
                </c:pt>
                <c:pt idx="182">
                  <c:v>127.51444299313459</c:v>
                </c:pt>
                <c:pt idx="183">
                  <c:v>128.2898242935843</c:v>
                </c:pt>
                <c:pt idx="184">
                  <c:v>129.06577895531601</c:v>
                </c:pt>
                <c:pt idx="185">
                  <c:v>129.84230373426203</c:v>
                </c:pt>
                <c:pt idx="186">
                  <c:v>130.61939537912235</c:v>
                </c:pt>
                <c:pt idx="187">
                  <c:v>131.39705063142202</c:v>
                </c:pt>
                <c:pt idx="188">
                  <c:v>132.17526622556926</c:v>
                </c:pt>
                <c:pt idx="189">
                  <c:v>132.95403888891397</c:v>
                </c:pt>
                <c:pt idx="190">
                  <c:v>133.73336534180663</c:v>
                </c:pt>
                <c:pt idx="191">
                  <c:v>134.51324229765783</c:v>
                </c:pt>
                <c:pt idx="192">
                  <c:v>135.29366646299812</c:v>
                </c:pt>
                <c:pt idx="193">
                  <c:v>136.0746345375384</c:v>
                </c:pt>
                <c:pt idx="194">
                  <c:v>136.85614321423091</c:v>
                </c:pt>
                <c:pt idx="195">
                  <c:v>137.6381891793302</c:v>
                </c:pt>
                <c:pt idx="196">
                  <c:v>138.4207691124553</c:v>
                </c:pt>
                <c:pt idx="197">
                  <c:v>139.20387968665173</c:v>
                </c:pt>
                <c:pt idx="198">
                  <c:v>139.98751756845402</c:v>
                </c:pt>
                <c:pt idx="199">
                  <c:v>140.77167941794909</c:v>
                </c:pt>
                <c:pt idx="200">
                  <c:v>141.55636188883958</c:v>
                </c:pt>
                <c:pt idx="201">
                  <c:v>142.34156162850795</c:v>
                </c:pt>
                <c:pt idx="202">
                  <c:v>143.12727527808079</c:v>
                </c:pt>
                <c:pt idx="203">
                  <c:v>143.91349947249364</c:v>
                </c:pt>
                <c:pt idx="204">
                  <c:v>144.70023084055637</c:v>
                </c:pt>
                <c:pt idx="205">
                  <c:v>145.48746600501863</c:v>
                </c:pt>
                <c:pt idx="206">
                  <c:v>146.27520158263616</c:v>
                </c:pt>
                <c:pt idx="207">
                  <c:v>147.06343418423708</c:v>
                </c:pt>
                <c:pt idx="208">
                  <c:v>147.85216041478893</c:v>
                </c:pt>
                <c:pt idx="209">
                  <c:v>148.64137687346593</c:v>
                </c:pt>
                <c:pt idx="210">
                  <c:v>149.43108015371661</c:v>
                </c:pt>
                <c:pt idx="211">
                  <c:v>150.22126684333199</c:v>
                </c:pt>
                <c:pt idx="212">
                  <c:v>151.01193352451401</c:v>
                </c:pt>
                <c:pt idx="213">
                  <c:v>151.80307677394444</c:v>
                </c:pt>
                <c:pt idx="214">
                  <c:v>152.59469316285413</c:v>
                </c:pt>
                <c:pt idx="215">
                  <c:v>153.38677925709257</c:v>
                </c:pt>
                <c:pt idx="216">
                  <c:v>154.17933161719799</c:v>
                </c:pt>
                <c:pt idx="217">
                  <c:v>154.9723467984677</c:v>
                </c:pt>
                <c:pt idx="218">
                  <c:v>155.76582135102885</c:v>
                </c:pt>
                <c:pt idx="219">
                  <c:v>156.55975181990948</c:v>
                </c:pt>
                <c:pt idx="220">
                  <c:v>157.35413474511006</c:v>
                </c:pt>
                <c:pt idx="221">
                  <c:v>158.14896666167533</c:v>
                </c:pt>
                <c:pt idx="222">
                  <c:v>158.94424409976642</c:v>
                </c:pt>
                <c:pt idx="223">
                  <c:v>159.73996358473346</c:v>
                </c:pt>
                <c:pt idx="224">
                  <c:v>160.53612163718827</c:v>
                </c:pt>
                <c:pt idx="225">
                  <c:v>161.33271477307784</c:v>
                </c:pt>
                <c:pt idx="226">
                  <c:v>162.12973950375766</c:v>
                </c:pt>
                <c:pt idx="227">
                  <c:v>162.92719233606573</c:v>
                </c:pt>
                <c:pt idx="228">
                  <c:v>163.72506977239669</c:v>
                </c:pt>
                <c:pt idx="229">
                  <c:v>164.52336831077642</c:v>
                </c:pt>
                <c:pt idx="230">
                  <c:v>165.32208444493691</c:v>
                </c:pt>
                <c:pt idx="231">
                  <c:v>166.12121466439132</c:v>
                </c:pt>
                <c:pt idx="232">
                  <c:v>166.92075545450959</c:v>
                </c:pt>
                <c:pt idx="233">
                  <c:v>167.72070329659428</c:v>
                </c:pt>
                <c:pt idx="234">
                  <c:v>168.52105466795652</c:v>
                </c:pt>
                <c:pt idx="235">
                  <c:v>169.32180604199252</c:v>
                </c:pt>
                <c:pt idx="236">
                  <c:v>170.1229538882603</c:v>
                </c:pt>
                <c:pt idx="237">
                  <c:v>170.92449467255656</c:v>
                </c:pt>
                <c:pt idx="238">
                  <c:v>171.72642485699416</c:v>
                </c:pt>
                <c:pt idx="239">
                  <c:v>172.52874090007955</c:v>
                </c:pt>
                <c:pt idx="240">
                  <c:v>173.3314392567907</c:v>
                </c:pt>
                <c:pt idx="241">
                  <c:v>174.13451637865523</c:v>
                </c:pt>
                <c:pt idx="242">
                  <c:v>174.93796871382881</c:v>
                </c:pt>
                <c:pt idx="243">
                  <c:v>175.74179270717383</c:v>
                </c:pt>
                <c:pt idx="244">
                  <c:v>176.54983669310406</c:v>
                </c:pt>
                <c:pt idx="245">
                  <c:v>177.36209930506652</c:v>
                </c:pt>
                <c:pt idx="246">
                  <c:v>178.17857914918261</c:v>
                </c:pt>
                <c:pt idx="247">
                  <c:v>178.99927480396221</c:v>
                </c:pt>
                <c:pt idx="248">
                  <c:v>179.82418482001924</c:v>
                </c:pt>
                <c:pt idx="249">
                  <c:v>180.65330771978745</c:v>
                </c:pt>
                <c:pt idx="250">
                  <c:v>181.48664199723763</c:v>
                </c:pt>
                <c:pt idx="251">
                  <c:v>182.32418611759545</c:v>
                </c:pt>
                <c:pt idx="252">
                  <c:v>183.16593851706025</c:v>
                </c:pt>
                <c:pt idx="253">
                  <c:v>184.00976566963988</c:v>
                </c:pt>
                <c:pt idx="254">
                  <c:v>184.85353139737165</c:v>
                </c:pt>
                <c:pt idx="255">
                  <c:v>185.69723152750393</c:v>
                </c:pt>
                <c:pt idx="256">
                  <c:v>186.54086189057415</c:v>
                </c:pt>
                <c:pt idx="257">
                  <c:v>187.38441832051402</c:v>
                </c:pt>
                <c:pt idx="258">
                  <c:v>188.2278966547548</c:v>
                </c:pt>
                <c:pt idx="259">
                  <c:v>189.07129273433247</c:v>
                </c:pt>
                <c:pt idx="260">
                  <c:v>189.9146024039928</c:v>
                </c:pt>
                <c:pt idx="261">
                  <c:v>190.7578215122966</c:v>
                </c:pt>
                <c:pt idx="262">
                  <c:v>191.60094591172438</c:v>
                </c:pt>
                <c:pt idx="263">
                  <c:v>192.44397145878156</c:v>
                </c:pt>
                <c:pt idx="264">
                  <c:v>193.28689401410318</c:v>
                </c:pt>
                <c:pt idx="265">
                  <c:v>194.12970944255861</c:v>
                </c:pt>
                <c:pt idx="266">
                  <c:v>194.97241361335631</c:v>
                </c:pt>
                <c:pt idx="267">
                  <c:v>195.81500240014824</c:v>
                </c:pt>
                <c:pt idx="268">
                  <c:v>196.65747168113441</c:v>
                </c:pt>
                <c:pt idx="269">
                  <c:v>197.49981733916721</c:v>
                </c:pt>
                <c:pt idx="270">
                  <c:v>198.34203526185556</c:v>
                </c:pt>
                <c:pt idx="271">
                  <c:v>199.184121341669</c:v>
                </c:pt>
                <c:pt idx="272">
                  <c:v>200.02607147604175</c:v>
                </c:pt>
                <c:pt idx="273">
                  <c:v>200.86788156747642</c:v>
                </c:pt>
                <c:pt idx="274">
                  <c:v>201.70954752364773</c:v>
                </c:pt>
                <c:pt idx="275">
                  <c:v>202.55106525750608</c:v>
                </c:pt>
                <c:pt idx="276">
                  <c:v>203.39243068738088</c:v>
                </c:pt>
                <c:pt idx="277">
                  <c:v>204.23353575085667</c:v>
                </c:pt>
                <c:pt idx="278">
                  <c:v>205.07422024896067</c:v>
                </c:pt>
                <c:pt idx="279">
                  <c:v>205.91447999871818</c:v>
                </c:pt>
                <c:pt idx="280">
                  <c:v>206.75431082714152</c:v>
                </c:pt>
                <c:pt idx="281">
                  <c:v>207.59370857133408</c:v>
                </c:pt>
                <c:pt idx="282">
                  <c:v>208.43266907859407</c:v>
                </c:pt>
                <c:pt idx="283">
                  <c:v>209.27118820651805</c:v>
                </c:pt>
                <c:pt idx="284">
                  <c:v>210.10926182310376</c:v>
                </c:pt>
                <c:pt idx="285">
                  <c:v>210.94688580685261</c:v>
                </c:pt>
                <c:pt idx="286">
                  <c:v>211.78405604687177</c:v>
                </c:pt>
                <c:pt idx="287">
                  <c:v>212.62076844297582</c:v>
                </c:pt>
                <c:pt idx="288">
                  <c:v>213.45701890578775</c:v>
                </c:pt>
                <c:pt idx="289">
                  <c:v>214.29280335683993</c:v>
                </c:pt>
                <c:pt idx="290">
                  <c:v>215.12811772867406</c:v>
                </c:pt>
                <c:pt idx="291">
                  <c:v>215.96295796494104</c:v>
                </c:pt>
                <c:pt idx="292">
                  <c:v>216.79732002050031</c:v>
                </c:pt>
                <c:pt idx="293">
                  <c:v>217.63119986151855</c:v>
                </c:pt>
                <c:pt idx="294">
                  <c:v>218.46459346556802</c:v>
                </c:pt>
                <c:pt idx="295">
                  <c:v>219.29749682172451</c:v>
                </c:pt>
                <c:pt idx="296">
                  <c:v>220.12990593066434</c:v>
                </c:pt>
                <c:pt idx="297">
                  <c:v>220.96181680476153</c:v>
                </c:pt>
                <c:pt idx="298">
                  <c:v>221.79322546818392</c:v>
                </c:pt>
                <c:pt idx="299">
                  <c:v>222.62412795698899</c:v>
                </c:pt>
                <c:pt idx="300">
                  <c:v>223.45452031921914</c:v>
                </c:pt>
                <c:pt idx="301">
                  <c:v>224.28439861499643</c:v>
                </c:pt>
                <c:pt idx="302">
                  <c:v>225.11375891661689</c:v>
                </c:pt>
                <c:pt idx="303">
                  <c:v>225.942597308644</c:v>
                </c:pt>
                <c:pt idx="304">
                  <c:v>226.77090988800214</c:v>
                </c:pt>
                <c:pt idx="305">
                  <c:v>227.59869276406886</c:v>
                </c:pt>
                <c:pt idx="306">
                  <c:v>228.42594205876722</c:v>
                </c:pt>
                <c:pt idx="307">
                  <c:v>229.25265390665714</c:v>
                </c:pt>
                <c:pt idx="308">
                  <c:v>230.07882445502636</c:v>
                </c:pt>
                <c:pt idx="309">
                  <c:v>230.90444986398091</c:v>
                </c:pt>
                <c:pt idx="310">
                  <c:v>231.72952630653481</c:v>
                </c:pt>
                <c:pt idx="311">
                  <c:v>232.55404996869933</c:v>
                </c:pt>
                <c:pt idx="312">
                  <c:v>233.37801704957175</c:v>
                </c:pt>
                <c:pt idx="313">
                  <c:v>234.2014237614234</c:v>
                </c:pt>
                <c:pt idx="314">
                  <c:v>235.02426632978708</c:v>
                </c:pt>
                <c:pt idx="315">
                  <c:v>235.84654099354415</c:v>
                </c:pt>
                <c:pt idx="316">
                  <c:v>236.66824400501065</c:v>
                </c:pt>
                <c:pt idx="317">
                  <c:v>237.48937163002313</c:v>
                </c:pt>
                <c:pt idx="318">
                  <c:v>238.30992014802382</c:v>
                </c:pt>
                <c:pt idx="319">
                  <c:v>239.12988585214498</c:v>
                </c:pt>
                <c:pt idx="320">
                  <c:v>239.94926504929299</c:v>
                </c:pt>
                <c:pt idx="321">
                  <c:v>240.76805406023152</c:v>
                </c:pt>
                <c:pt idx="322">
                  <c:v>241.58624921966424</c:v>
                </c:pt>
                <c:pt idx="323">
                  <c:v>242.40384687631681</c:v>
                </c:pt>
                <c:pt idx="324">
                  <c:v>243.2208433930185</c:v>
                </c:pt>
                <c:pt idx="325">
                  <c:v>244.03723514678271</c:v>
                </c:pt>
                <c:pt idx="326">
                  <c:v>244.8530185288873</c:v>
                </c:pt>
                <c:pt idx="327">
                  <c:v>245.66818994495415</c:v>
                </c:pt>
                <c:pt idx="328">
                  <c:v>246.48274581502795</c:v>
                </c:pt>
                <c:pt idx="329">
                  <c:v>247.29668257365444</c:v>
                </c:pt>
                <c:pt idx="330">
                  <c:v>248.10999666995809</c:v>
                </c:pt>
                <c:pt idx="331">
                  <c:v>248.92268456771899</c:v>
                </c:pt>
                <c:pt idx="332">
                  <c:v>249.7347427454491</c:v>
                </c:pt>
                <c:pt idx="333">
                  <c:v>250.54616769646799</c:v>
                </c:pt>
                <c:pt idx="334">
                  <c:v>251.35695592897773</c:v>
                </c:pt>
                <c:pt idx="335">
                  <c:v>252.1671039661372</c:v>
                </c:pt>
                <c:pt idx="336">
                  <c:v>252.97660834613586</c:v>
                </c:pt>
                <c:pt idx="337">
                  <c:v>253.78546562226646</c:v>
                </c:pt>
                <c:pt idx="338">
                  <c:v>254.59367236299764</c:v>
                </c:pt>
                <c:pt idx="339">
                  <c:v>255.40122515204533</c:v>
                </c:pt>
                <c:pt idx="340">
                  <c:v>256.20812058844382</c:v>
                </c:pt>
                <c:pt idx="341">
                  <c:v>257.01435528661602</c:v>
                </c:pt>
                <c:pt idx="342">
                  <c:v>257.81992587644299</c:v>
                </c:pt>
                <c:pt idx="343">
                  <c:v>258.62482900333276</c:v>
                </c:pt>
                <c:pt idx="344">
                  <c:v>259.42914943701237</c:v>
                </c:pt>
                <c:pt idx="345">
                  <c:v>260.23367737945563</c:v>
                </c:pt>
                <c:pt idx="346">
                  <c:v>261.03840958892624</c:v>
                </c:pt>
                <c:pt idx="347">
                  <c:v>261.84334282643226</c:v>
                </c:pt>
                <c:pt idx="348">
                  <c:v>262.64847385580339</c:v>
                </c:pt>
                <c:pt idx="349">
                  <c:v>263.45379944376833</c:v>
                </c:pt>
                <c:pt idx="350">
                  <c:v>264.25931636003202</c:v>
                </c:pt>
                <c:pt idx="351">
                  <c:v>265.06502137735288</c:v>
                </c:pt>
                <c:pt idx="352">
                  <c:v>265.87091127161983</c:v>
                </c:pt>
                <c:pt idx="353">
                  <c:v>266.67698282192947</c:v>
                </c:pt>
                <c:pt idx="354">
                  <c:v>267.4832328106632</c:v>
                </c:pt>
                <c:pt idx="355">
                  <c:v>268.28965802356413</c:v>
                </c:pt>
                <c:pt idx="356">
                  <c:v>269.09625524981396</c:v>
                </c:pt>
                <c:pt idx="357">
                  <c:v>269.90302128211005</c:v>
                </c:pt>
                <c:pt idx="358">
                  <c:v>270.709952916742</c:v>
                </c:pt>
                <c:pt idx="359">
                  <c:v>271.51704695366845</c:v>
                </c:pt>
                <c:pt idx="360">
                  <c:v>272.32430019659387</c:v>
                </c:pt>
                <c:pt idx="361">
                  <c:v>273.131709453045</c:v>
                </c:pt>
                <c:pt idx="362">
                  <c:v>273.9392715344473</c:v>
                </c:pt>
                <c:pt idx="363">
                  <c:v>274.7469832562017</c:v>
                </c:pt>
                <c:pt idx="364">
                  <c:v>275.55484143776044</c:v>
                </c:pt>
                <c:pt idx="365">
                  <c:v>276.36284290270362</c:v>
                </c:pt>
                <c:pt idx="366">
                  <c:v>277.17098447881529</c:v>
                </c:pt>
                <c:pt idx="367">
                  <c:v>277.97926299815958</c:v>
                </c:pt>
                <c:pt idx="368">
                  <c:v>278.78767529715651</c:v>
                </c:pt>
                <c:pt idx="369">
                  <c:v>279.59621821665775</c:v>
                </c:pt>
                <c:pt idx="370">
                  <c:v>280.40488860202254</c:v>
                </c:pt>
                <c:pt idx="371">
                  <c:v>281.21368330319319</c:v>
                </c:pt>
                <c:pt idx="372">
                  <c:v>282.02259917477085</c:v>
                </c:pt>
                <c:pt idx="373">
                  <c:v>282.83105465303925</c:v>
                </c:pt>
                <c:pt idx="374">
                  <c:v>283.63904662710684</c:v>
                </c:pt>
                <c:pt idx="375">
                  <c:v>284.44657199930174</c:v>
                </c:pt>
                <c:pt idx="376">
                  <c:v>285.25362768523667</c:v>
                </c:pt>
                <c:pt idx="377">
                  <c:v>286.0602106138731</c:v>
                </c:pt>
                <c:pt idx="378">
                  <c:v>286.86631772758489</c:v>
                </c:pt>
                <c:pt idx="379">
                  <c:v>287.67194598222136</c:v>
                </c:pt>
                <c:pt idx="380">
                  <c:v>288.47709234717001</c:v>
                </c:pt>
                <c:pt idx="381">
                  <c:v>289.28175380541825</c:v>
                </c:pt>
                <c:pt idx="382">
                  <c:v>290.08592735361498</c:v>
                </c:pt>
                <c:pt idx="383">
                  <c:v>290.88961000213123</c:v>
                </c:pt>
                <c:pt idx="384">
                  <c:v>291.69279877512071</c:v>
                </c:pt>
                <c:pt idx="385">
                  <c:v>292.49549071057947</c:v>
                </c:pt>
                <c:pt idx="386">
                  <c:v>293.29768286040485</c:v>
                </c:pt>
                <c:pt idx="387">
                  <c:v>294.0993722904542</c:v>
                </c:pt>
                <c:pt idx="388">
                  <c:v>294.90055608060288</c:v>
                </c:pt>
                <c:pt idx="389">
                  <c:v>295.70123132480154</c:v>
                </c:pt>
                <c:pt idx="390">
                  <c:v>296.50139513113305</c:v>
                </c:pt>
                <c:pt idx="391">
                  <c:v>297.30104462186881</c:v>
                </c:pt>
                <c:pt idx="392">
                  <c:v>298.10017693352432</c:v>
                </c:pt>
                <c:pt idx="393">
                  <c:v>298.89878921691428</c:v>
                </c:pt>
                <c:pt idx="394">
                  <c:v>299.69687863720702</c:v>
                </c:pt>
                <c:pt idx="395">
                  <c:v>300.49444237397864</c:v>
                </c:pt>
                <c:pt idx="396">
                  <c:v>301.29147762126615</c:v>
                </c:pt>
                <c:pt idx="397">
                  <c:v>302.08798158761999</c:v>
                </c:pt>
                <c:pt idx="398">
                  <c:v>302.88395149615673</c:v>
                </c:pt>
                <c:pt idx="399">
                  <c:v>303.67938458461009</c:v>
                </c:pt>
                <c:pt idx="400">
                  <c:v>304.47427810538215</c:v>
                </c:pt>
                <c:pt idx="401">
                  <c:v>305.26862932559351</c:v>
                </c:pt>
                <c:pt idx="402">
                  <c:v>306.06243552713323</c:v>
                </c:pt>
                <c:pt idx="403">
                  <c:v>306.85569400670789</c:v>
                </c:pt>
                <c:pt idx="404">
                  <c:v>307.6484020758902</c:v>
                </c:pt>
                <c:pt idx="405">
                  <c:v>308.44055706116677</c:v>
                </c:pt>
                <c:pt idx="406">
                  <c:v>309.23215630398562</c:v>
                </c:pt>
                <c:pt idx="407">
                  <c:v>310.02319716080302</c:v>
                </c:pt>
                <c:pt idx="408">
                  <c:v>310.81367700312921</c:v>
                </c:pt>
                <c:pt idx="409">
                  <c:v>311.60293776703924</c:v>
                </c:pt>
                <c:pt idx="410">
                  <c:v>312.39081302838588</c:v>
                </c:pt>
                <c:pt idx="411">
                  <c:v>313.1773004133567</c:v>
                </c:pt>
                <c:pt idx="412">
                  <c:v>313.96239757684475</c:v>
                </c:pt>
                <c:pt idx="413">
                  <c:v>314.74610220244057</c:v>
                </c:pt>
                <c:pt idx="414">
                  <c:v>315.5284120024225</c:v>
                </c:pt>
                <c:pt idx="415">
                  <c:v>316.30932471774599</c:v>
                </c:pt>
                <c:pt idx="416">
                  <c:v>317.08883811803179</c:v>
                </c:pt>
                <c:pt idx="417">
                  <c:v>317.86695000155254</c:v>
                </c:pt>
                <c:pt idx="418">
                  <c:v>318.64365819521856</c:v>
                </c:pt>
                <c:pt idx="419">
                  <c:v>319.41896055456198</c:v>
                </c:pt>
                <c:pt idx="420">
                  <c:v>320.19285496372004</c:v>
                </c:pt>
                <c:pt idx="421">
                  <c:v>320.96533933541684</c:v>
                </c:pt>
                <c:pt idx="422">
                  <c:v>321.73641161094429</c:v>
                </c:pt>
                <c:pt idx="423">
                  <c:v>322.50606976014114</c:v>
                </c:pt>
                <c:pt idx="424">
                  <c:v>323.27431178137186</c:v>
                </c:pt>
                <c:pt idx="425">
                  <c:v>324.04113570150315</c:v>
                </c:pt>
                <c:pt idx="426">
                  <c:v>324.80653957588027</c:v>
                </c:pt>
                <c:pt idx="427">
                  <c:v>325.57052148830167</c:v>
                </c:pt>
                <c:pt idx="428">
                  <c:v>326.33307955099252</c:v>
                </c:pt>
                <c:pt idx="429">
                  <c:v>327.09421190457692</c:v>
                </c:pt>
                <c:pt idx="430">
                  <c:v>327.85391671804956</c:v>
                </c:pt>
                <c:pt idx="431">
                  <c:v>328.6121921887455</c:v>
                </c:pt>
                <c:pt idx="432">
                  <c:v>329.369036542309</c:v>
                </c:pt>
                <c:pt idx="433">
                  <c:v>330.12444803266158</c:v>
                </c:pt>
                <c:pt idx="434">
                  <c:v>330.87842494196855</c:v>
                </c:pt>
                <c:pt idx="435">
                  <c:v>331.63096558060454</c:v>
                </c:pt>
                <c:pt idx="436">
                  <c:v>332.38206828711782</c:v>
                </c:pt>
                <c:pt idx="437">
                  <c:v>333.13173142819386</c:v>
                </c:pt>
                <c:pt idx="438">
                  <c:v>333.87995339861715</c:v>
                </c:pt>
                <c:pt idx="439">
                  <c:v>334.62673262123263</c:v>
                </c:pt>
                <c:pt idx="440">
                  <c:v>335.37206754690527</c:v>
                </c:pt>
                <c:pt idx="441">
                  <c:v>336.11595665447959</c:v>
                </c:pt>
                <c:pt idx="442">
                  <c:v>336.85839845073673</c:v>
                </c:pt>
                <c:pt idx="443">
                  <c:v>337.59939147035192</c:v>
                </c:pt>
                <c:pt idx="444">
                  <c:v>338.33893427584968</c:v>
                </c:pt>
                <c:pt idx="445">
                  <c:v>339.07702545755859</c:v>
                </c:pt>
                <c:pt idx="446">
                  <c:v>339.81366363356506</c:v>
                </c:pt>
                <c:pt idx="447">
                  <c:v>340.54884744966546</c:v>
                </c:pt>
                <c:pt idx="448">
                  <c:v>341.28257557931812</c:v>
                </c:pt>
                <c:pt idx="449">
                  <c:v>342.01484672359351</c:v>
                </c:pt>
                <c:pt idx="450">
                  <c:v>342.74565961112359</c:v>
                </c:pt>
                <c:pt idx="451">
                  <c:v>343.4750129980506</c:v>
                </c:pt>
                <c:pt idx="452">
                  <c:v>344.20290566797439</c:v>
                </c:pt>
                <c:pt idx="453">
                  <c:v>344.92933643189855</c:v>
                </c:pt>
                <c:pt idx="454">
                  <c:v>345.65430412817625</c:v>
                </c:pt>
                <c:pt idx="455">
                  <c:v>346.37780762245467</c:v>
                </c:pt>
                <c:pt idx="456">
                  <c:v>347.09984580761824</c:v>
                </c:pt>
                <c:pt idx="457">
                  <c:v>347.82041760373147</c:v>
                </c:pt>
                <c:pt idx="458">
                  <c:v>348.53952195798041</c:v>
                </c:pt>
                <c:pt idx="459">
                  <c:v>349.25715784461318</c:v>
                </c:pt>
                <c:pt idx="460">
                  <c:v>349.97332426487986</c:v>
                </c:pt>
                <c:pt idx="461">
                  <c:v>350.68802024697106</c:v>
                </c:pt>
                <c:pt idx="462">
                  <c:v>351.40124484595594</c:v>
                </c:pt>
                <c:pt idx="463">
                  <c:v>352.11299714371887</c:v>
                </c:pt>
                <c:pt idx="464">
                  <c:v>352.82327624889558</c:v>
                </c:pt>
                <c:pt idx="465">
                  <c:v>353.53208129680837</c:v>
                </c:pt>
                <c:pt idx="466">
                  <c:v>354.23941144940011</c:v>
                </c:pt>
                <c:pt idx="467">
                  <c:v>354.94526589516772</c:v>
                </c:pt>
                <c:pt idx="468">
                  <c:v>355.64964384909433</c:v>
                </c:pt>
                <c:pt idx="469">
                  <c:v>356.35254455258132</c:v>
                </c:pt>
                <c:pt idx="470">
                  <c:v>357.05396727337865</c:v>
                </c:pt>
                <c:pt idx="471">
                  <c:v>357.75391130551486</c:v>
                </c:pt>
                <c:pt idx="472">
                  <c:v>358.45237596922613</c:v>
                </c:pt>
                <c:pt idx="473">
                  <c:v>359.14936061088446</c:v>
                </c:pt>
                <c:pt idx="474">
                  <c:v>359.84486460292482</c:v>
                </c:pt>
                <c:pt idx="475">
                  <c:v>360.5388873437721</c:v>
                </c:pt>
                <c:pt idx="476">
                  <c:v>361.23142825776648</c:v>
                </c:pt>
                <c:pt idx="477">
                  <c:v>361.9224867950885</c:v>
                </c:pt>
                <c:pt idx="478">
                  <c:v>362.61206243168306</c:v>
                </c:pt>
                <c:pt idx="479">
                  <c:v>363.3001546691832</c:v>
                </c:pt>
                <c:pt idx="480">
                  <c:v>363.98676303483199</c:v>
                </c:pt>
                <c:pt idx="481">
                  <c:v>364.67188708140515</c:v>
                </c:pt>
                <c:pt idx="482">
                  <c:v>365.35552638713131</c:v>
                </c:pt>
                <c:pt idx="483">
                  <c:v>366.03768055561272</c:v>
                </c:pt>
                <c:pt idx="484">
                  <c:v>366.71834921574498</c:v>
                </c:pt>
                <c:pt idx="485">
                  <c:v>367.39753202163536</c:v>
                </c:pt>
                <c:pt idx="486">
                  <c:v>368.07522865252139</c:v>
                </c:pt>
                <c:pt idx="487">
                  <c:v>368.75143881268787</c:v>
                </c:pt>
                <c:pt idx="488">
                  <c:v>369.42616223138384</c:v>
                </c:pt>
                <c:pt idx="489">
                  <c:v>370.09939866273834</c:v>
                </c:pt>
                <c:pt idx="490">
                  <c:v>370.77114788567587</c:v>
                </c:pt>
                <c:pt idx="491">
                  <c:v>371.44140970383074</c:v>
                </c:pt>
                <c:pt idx="492">
                  <c:v>372.1101839454613</c:v>
                </c:pt>
                <c:pt idx="493">
                  <c:v>372.77747046336304</c:v>
                </c:pt>
                <c:pt idx="494">
                  <c:v>373.44326913478113</c:v>
                </c:pt>
                <c:pt idx="495">
                  <c:v>374.10757986132268</c:v>
                </c:pt>
                <c:pt idx="496">
                  <c:v>374.77040256886772</c:v>
                </c:pt>
                <c:pt idx="497">
                  <c:v>375.4315252730471</c:v>
                </c:pt>
                <c:pt idx="498">
                  <c:v>376.09073602601694</c:v>
                </c:pt>
                <c:pt idx="499">
                  <c:v>376.74803518124685</c:v>
                </c:pt>
                <c:pt idx="500">
                  <c:v>377.40342312250192</c:v>
                </c:pt>
                <c:pt idx="501">
                  <c:v>378.05690026369894</c:v>
                </c:pt>
                <c:pt idx="502">
                  <c:v>378.70846704876135</c:v>
                </c:pt>
                <c:pt idx="503">
                  <c:v>379.35812395147337</c:v>
                </c:pt>
                <c:pt idx="504">
                  <c:v>380.0058714753344</c:v>
                </c:pt>
                <c:pt idx="505">
                  <c:v>380.65171015341116</c:v>
                </c:pt>
                <c:pt idx="506">
                  <c:v>381.29564054819105</c:v>
                </c:pt>
                <c:pt idx="507">
                  <c:v>381.93766325143298</c:v>
                </c:pt>
                <c:pt idx="508">
                  <c:v>382.57777888401932</c:v>
                </c:pt>
                <c:pt idx="509">
                  <c:v>383.2159880958057</c:v>
                </c:pt>
                <c:pt idx="510">
                  <c:v>383.85229156547132</c:v>
                </c:pt>
                <c:pt idx="511">
                  <c:v>384.48669000036801</c:v>
                </c:pt>
                <c:pt idx="512">
                  <c:v>385.1191841363692</c:v>
                </c:pt>
                <c:pt idx="513">
                  <c:v>385.74977473771787</c:v>
                </c:pt>
                <c:pt idx="514">
                  <c:v>386.3784625968741</c:v>
                </c:pt>
                <c:pt idx="515">
                  <c:v>387.00524853436247</c:v>
                </c:pt>
                <c:pt idx="516">
                  <c:v>387.63013339861806</c:v>
                </c:pt>
                <c:pt idx="517">
                  <c:v>388.25311806583301</c:v>
                </c:pt>
                <c:pt idx="518">
                  <c:v>388.87420343980193</c:v>
                </c:pt>
                <c:pt idx="519">
                  <c:v>389.49339045176657</c:v>
                </c:pt>
                <c:pt idx="520">
                  <c:v>390.11068006026085</c:v>
                </c:pt>
                <c:pt idx="521">
                  <c:v>390.72607325095481</c:v>
                </c:pt>
                <c:pt idx="522">
                  <c:v>391.33957103649823</c:v>
                </c:pt>
                <c:pt idx="523">
                  <c:v>391.95117445636401</c:v>
                </c:pt>
                <c:pt idx="524">
                  <c:v>392.56088457669063</c:v>
                </c:pt>
                <c:pt idx="525">
                  <c:v>393.16870249012533</c:v>
                </c:pt>
                <c:pt idx="526">
                  <c:v>393.77462931566515</c:v>
                </c:pt>
                <c:pt idx="527">
                  <c:v>394.37866619849933</c:v>
                </c:pt>
                <c:pt idx="528">
                  <c:v>394.98081430985019</c:v>
                </c:pt>
                <c:pt idx="529">
                  <c:v>395.58107484681432</c:v>
                </c:pt>
                <c:pt idx="530">
                  <c:v>396.17944903220268</c:v>
                </c:pt>
                <c:pt idx="531">
                  <c:v>396.77593811438163</c:v>
                </c:pt>
                <c:pt idx="532">
                  <c:v>397.37054336711202</c:v>
                </c:pt>
                <c:pt idx="533">
                  <c:v>397.96326608938932</c:v>
                </c:pt>
                <c:pt idx="534">
                  <c:v>398.55410760528281</c:v>
                </c:pt>
                <c:pt idx="535">
                  <c:v>399.14306926377458</c:v>
                </c:pt>
                <c:pt idx="536">
                  <c:v>399.73015243859845</c:v>
                </c:pt>
                <c:pt idx="537">
                  <c:v>400.31535852807849</c:v>
                </c:pt>
                <c:pt idx="538">
                  <c:v>400.89868895496676</c:v>
                </c:pt>
                <c:pt idx="539">
                  <c:v>401.4801451662824</c:v>
                </c:pt>
                <c:pt idx="540">
                  <c:v>402.0597286331485</c:v>
                </c:pt>
                <c:pt idx="541">
                  <c:v>402.63744085063007</c:v>
                </c:pt>
                <c:pt idx="542">
                  <c:v>403.21328333757174</c:v>
                </c:pt>
                <c:pt idx="543">
                  <c:v>403.78725763643439</c:v>
                </c:pt>
                <c:pt idx="544">
                  <c:v>404.35936531313274</c:v>
                </c:pt>
                <c:pt idx="545">
                  <c:v>404.92960795687219</c:v>
                </c:pt>
                <c:pt idx="546">
                  <c:v>405.49798717998522</c:v>
                </c:pt>
                <c:pt idx="547">
                  <c:v>406.06450461776825</c:v>
                </c:pt>
                <c:pt idx="548">
                  <c:v>406.62916192831818</c:v>
                </c:pt>
                <c:pt idx="549">
                  <c:v>407.19196079236872</c:v>
                </c:pt>
                <c:pt idx="550">
                  <c:v>407.75275915934674</c:v>
                </c:pt>
                <c:pt idx="551">
                  <c:v>408.31122324088642</c:v>
                </c:pt>
                <c:pt idx="552">
                  <c:v>408.86735535845679</c:v>
                </c:pt>
                <c:pt idx="553">
                  <c:v>409.42115786193011</c:v>
                </c:pt>
                <c:pt idx="554">
                  <c:v>409.97263312934331</c:v>
                </c:pt>
                <c:pt idx="555">
                  <c:v>410.52178356665934</c:v>
                </c:pt>
                <c:pt idx="556">
                  <c:v>411.06861160752942</c:v>
                </c:pt>
                <c:pt idx="557">
                  <c:v>411.613119713054</c:v>
                </c:pt>
                <c:pt idx="558">
                  <c:v>412.15531037154528</c:v>
                </c:pt>
                <c:pt idx="559">
                  <c:v>412.69518609828833</c:v>
                </c:pt>
                <c:pt idx="560">
                  <c:v>413.23274943530362</c:v>
                </c:pt>
                <c:pt idx="561">
                  <c:v>413.76800295110866</c:v>
                </c:pt>
                <c:pt idx="562">
                  <c:v>414.30094924048029</c:v>
                </c:pt>
                <c:pt idx="563">
                  <c:v>414.83159092421727</c:v>
                </c:pt>
                <c:pt idx="564">
                  <c:v>415.3599306489026</c:v>
                </c:pt>
                <c:pt idx="565">
                  <c:v>415.8859710866659</c:v>
                </c:pt>
                <c:pt idx="566">
                  <c:v>416.40971493494692</c:v>
                </c:pt>
                <c:pt idx="567">
                  <c:v>416.93116491625801</c:v>
                </c:pt>
                <c:pt idx="568">
                  <c:v>417.45032377794786</c:v>
                </c:pt>
                <c:pt idx="569">
                  <c:v>417.96719429196486</c:v>
                </c:pt>
                <c:pt idx="570">
                  <c:v>418.48177925462079</c:v>
                </c:pt>
                <c:pt idx="571">
                  <c:v>418.9940814863553</c:v>
                </c:pt>
                <c:pt idx="572">
                  <c:v>419.50410383149989</c:v>
                </c:pt>
                <c:pt idx="573">
                  <c:v>420.01184915804276</c:v>
                </c:pt>
                <c:pt idx="574">
                  <c:v>420.51732035739354</c:v>
                </c:pt>
                <c:pt idx="575">
                  <c:v>421.02052034414913</c:v>
                </c:pt>
                <c:pt idx="576">
                  <c:v>421.52145205585873</c:v>
                </c:pt>
                <c:pt idx="577">
                  <c:v>422.02011845279037</c:v>
                </c:pt>
                <c:pt idx="578">
                  <c:v>422.51652251769684</c:v>
                </c:pt>
                <c:pt idx="579">
                  <c:v>423.01066725558292</c:v>
                </c:pt>
                <c:pt idx="580">
                  <c:v>423.50255569347206</c:v>
                </c:pt>
                <c:pt idx="581">
                  <c:v>423.99219088017423</c:v>
                </c:pt>
                <c:pt idx="582">
                  <c:v>424.47957588605402</c:v>
                </c:pt>
                <c:pt idx="583">
                  <c:v>424.96471380279871</c:v>
                </c:pt>
                <c:pt idx="584">
                  <c:v>425.44760774318752</c:v>
                </c:pt>
                <c:pt idx="585">
                  <c:v>425.92826084086073</c:v>
                </c:pt>
                <c:pt idx="586">
                  <c:v>426.40667625008956</c:v>
                </c:pt>
                <c:pt idx="587">
                  <c:v>426.8828571455465</c:v>
                </c:pt>
                <c:pt idx="588">
                  <c:v>427.35680672207616</c:v>
                </c:pt>
                <c:pt idx="589">
                  <c:v>427.8285281944664</c:v>
                </c:pt>
                <c:pt idx="590">
                  <c:v>428.29802479722031</c:v>
                </c:pt>
                <c:pt idx="591">
                  <c:v>428.76529978432876</c:v>
                </c:pt>
                <c:pt idx="592">
                  <c:v>429.23035642904301</c:v>
                </c:pt>
                <c:pt idx="593">
                  <c:v>429.69319802364834</c:v>
                </c:pt>
                <c:pt idx="594">
                  <c:v>430.15382787923807</c:v>
                </c:pt>
                <c:pt idx="595">
                  <c:v>430.61224932548822</c:v>
                </c:pt>
                <c:pt idx="596">
                  <c:v>431.06846571043286</c:v>
                </c:pt>
                <c:pt idx="597">
                  <c:v>431.52248040023966</c:v>
                </c:pt>
                <c:pt idx="598">
                  <c:v>431.97429677898651</c:v>
                </c:pt>
                <c:pt idx="599">
                  <c:v>432.42391824843861</c:v>
                </c:pt>
                <c:pt idx="600">
                  <c:v>432.8713482278261</c:v>
                </c:pt>
                <c:pt idx="601">
                  <c:v>433.31659015362249</c:v>
                </c:pt>
                <c:pt idx="602">
                  <c:v>433.75964747932341</c:v>
                </c:pt>
                <c:pt idx="603">
                  <c:v>434.20052367522663</c:v>
                </c:pt>
                <c:pt idx="604">
                  <c:v>434.6392222282123</c:v>
                </c:pt>
                <c:pt idx="605">
                  <c:v>435.07574664152361</c:v>
                </c:pt>
                <c:pt idx="606">
                  <c:v>435.51010043454914</c:v>
                </c:pt>
                <c:pt idx="607">
                  <c:v>435.9422871426047</c:v>
                </c:pt>
                <c:pt idx="608">
                  <c:v>436.37231031671689</c:v>
                </c:pt>
                <c:pt idx="609">
                  <c:v>436.80017352340656</c:v>
                </c:pt>
                <c:pt idx="610">
                  <c:v>437.22588034447381</c:v>
                </c:pt>
                <c:pt idx="611">
                  <c:v>437.64943437678295</c:v>
                </c:pt>
                <c:pt idx="612">
                  <c:v>438.06955815144306</c:v>
                </c:pt>
                <c:pt idx="613">
                  <c:v>438.48625736368808</c:v>
                </c:pt>
                <c:pt idx="614">
                  <c:v>438.89953773822793</c:v>
                </c:pt>
                <c:pt idx="615">
                  <c:v>439.30940502878099</c:v>
                </c:pt>
                <c:pt idx="616">
                  <c:v>439.7158650176068</c:v>
                </c:pt>
                <c:pt idx="617">
                  <c:v>440.11892351504201</c:v>
                </c:pt>
                <c:pt idx="618">
                  <c:v>440.51858635903682</c:v>
                </c:pt>
                <c:pt idx="619">
                  <c:v>440.91485941469438</c:v>
                </c:pt>
                <c:pt idx="620">
                  <c:v>441.30774857381141</c:v>
                </c:pt>
                <c:pt idx="621">
                  <c:v>441.69725975442094</c:v>
                </c:pt>
                <c:pt idx="622">
                  <c:v>442.08339890033693</c:v>
                </c:pt>
                <c:pt idx="623">
                  <c:v>442.46617198070123</c:v>
                </c:pt>
                <c:pt idx="624">
                  <c:v>442.84558498953152</c:v>
                </c:pt>
                <c:pt idx="625">
                  <c:v>443.2216439452726</c:v>
                </c:pt>
                <c:pt idx="626">
                  <c:v>443.59435489034843</c:v>
                </c:pt>
                <c:pt idx="627">
                  <c:v>443.96372389071701</c:v>
                </c:pt>
                <c:pt idx="628">
                  <c:v>444.32975703542718</c:v>
                </c:pt>
                <c:pt idx="629">
                  <c:v>444.69246043617716</c:v>
                </c:pt>
                <c:pt idx="630">
                  <c:v>445.05184022687553</c:v>
                </c:pt>
                <c:pt idx="631">
                  <c:v>445.40790256320423</c:v>
                </c:pt>
                <c:pt idx="632">
                  <c:v>445.76065362218355</c:v>
                </c:pt>
                <c:pt idx="633">
                  <c:v>446.11009960173959</c:v>
                </c:pt>
                <c:pt idx="634">
                  <c:v>446.45624672027373</c:v>
                </c:pt>
                <c:pt idx="635">
                  <c:v>446.79910121623374</c:v>
                </c:pt>
                <c:pt idx="636">
                  <c:v>447.13866934768839</c:v>
                </c:pt>
                <c:pt idx="637">
                  <c:v>447.47495739190288</c:v>
                </c:pt>
                <c:pt idx="638">
                  <c:v>447.80797164491742</c:v>
                </c:pt>
                <c:pt idx="639">
                  <c:v>448.13771842112777</c:v>
                </c:pt>
                <c:pt idx="640">
                  <c:v>448.46420405286779</c:v>
                </c:pt>
                <c:pt idx="641">
                  <c:v>448.78743488999493</c:v>
                </c:pt>
                <c:pt idx="642">
                  <c:v>449.10741729947722</c:v>
                </c:pt>
                <c:pt idx="643">
                  <c:v>449.42415766498306</c:v>
                </c:pt>
                <c:pt idx="644">
                  <c:v>449.73766238647352</c:v>
                </c:pt>
                <c:pt idx="645">
                  <c:v>450.04793787979622</c:v>
                </c:pt>
                <c:pt idx="646">
                  <c:v>450.3514357566313</c:v>
                </c:pt>
                <c:pt idx="647">
                  <c:v>450.64777396985875</c:v>
                </c:pt>
                <c:pt idx="648">
                  <c:v>450.93696656731657</c:v>
                </c:pt>
                <c:pt idx="649">
                  <c:v>451.21902767718296</c:v>
                </c:pt>
                <c:pt idx="650">
                  <c:v>451.49397150620484</c:v>
                </c:pt>
                <c:pt idx="651">
                  <c:v>451.7618123379354</c:v>
                </c:pt>
                <c:pt idx="652">
                  <c:v>452.02256453098147</c:v>
                </c:pt>
                <c:pt idx="653">
                  <c:v>452.27624251725967</c:v>
                </c:pt>
                <c:pt idx="654">
                  <c:v>452.52286080026317</c:v>
                </c:pt>
                <c:pt idx="655">
                  <c:v>452.76243395333762</c:v>
                </c:pt>
                <c:pt idx="656">
                  <c:v>452.99497661796738</c:v>
                </c:pt>
                <c:pt idx="657">
                  <c:v>453.22050350207189</c:v>
                </c:pt>
                <c:pt idx="658">
                  <c:v>453.43902937831183</c:v>
                </c:pt>
                <c:pt idx="659">
                  <c:v>453.65056908240615</c:v>
                </c:pt>
                <c:pt idx="660">
                  <c:v>453.85513751145925</c:v>
                </c:pt>
                <c:pt idx="661">
                  <c:v>454.05274962229879</c:v>
                </c:pt>
                <c:pt idx="662">
                  <c:v>454.2434204298242</c:v>
                </c:pt>
                <c:pt idx="663">
                  <c:v>454.42716500536585</c:v>
                </c:pt>
                <c:pt idx="664">
                  <c:v>454.60399847505545</c:v>
                </c:pt>
                <c:pt idx="665">
                  <c:v>454.77393601820683</c:v>
                </c:pt>
                <c:pt idx="666">
                  <c:v>454.92945848743915</c:v>
                </c:pt>
                <c:pt idx="667">
                  <c:v>455.06871308091741</c:v>
                </c:pt>
                <c:pt idx="668">
                  <c:v>455.19173632109704</c:v>
                </c:pt>
                <c:pt idx="669">
                  <c:v>455.29856510874299</c:v>
                </c:pt>
                <c:pt idx="670">
                  <c:v>455.38923671405018</c:v>
                </c:pt>
                <c:pt idx="671">
                  <c:v>455.463788767805</c:v>
                </c:pt>
                <c:pt idx="672">
                  <c:v>455.52225925258813</c:v>
                </c:pt>
                <c:pt idx="673">
                  <c:v>455.56468649402177</c:v>
                </c:pt>
                <c:pt idx="674">
                  <c:v>455.59110915206162</c:v>
                </c:pt>
                <c:pt idx="675">
                  <c:v>455.60156621233614</c:v>
                </c:pt>
                <c:pt idx="676">
                  <c:v>455.59609697753376</c:v>
                </c:pt>
                <c:pt idx="677">
                  <c:v>455.57474105884006</c:v>
                </c:pt>
                <c:pt idx="678">
                  <c:v>455.53753836742635</c:v>
                </c:pt>
                <c:pt idx="679">
                  <c:v>455.48452910599008</c:v>
                </c:pt>
                <c:pt idx="680">
                  <c:v>455.41575376035001</c:v>
                </c:pt>
                <c:pt idx="681">
                  <c:v>455.33125309109619</c:v>
                </c:pt>
                <c:pt idx="682">
                  <c:v>455.23106812529591</c:v>
                </c:pt>
                <c:pt idx="683">
                  <c:v>455.11524014825829</c:v>
                </c:pt>
                <c:pt idx="684">
                  <c:v>454.98381069535662</c:v>
                </c:pt>
                <c:pt idx="685">
                  <c:v>454.83682154391141</c:v>
                </c:pt>
                <c:pt idx="686">
                  <c:v>454.67431470513384</c:v>
                </c:pt>
                <c:pt idx="687">
                  <c:v>454.49633241613191</c:v>
                </c:pt>
                <c:pt idx="688">
                  <c:v>454.30291713197926</c:v>
                </c:pt>
                <c:pt idx="689">
                  <c:v>454.09411151784792</c:v>
                </c:pt>
                <c:pt idx="690">
                  <c:v>453.86995844120668</c:v>
                </c:pt>
                <c:pt idx="691">
                  <c:v>453.6305009640846</c:v>
                </c:pt>
                <c:pt idx="692">
                  <c:v>453.3757823354016</c:v>
                </c:pt>
                <c:pt idx="693">
                  <c:v>453.10584598336675</c:v>
                </c:pt>
                <c:pt idx="694">
                  <c:v>452.82073550794479</c:v>
                </c:pt>
                <c:pt idx="695">
                  <c:v>452.52049467339151</c:v>
                </c:pt>
                <c:pt idx="696">
                  <c:v>452.20516740085918</c:v>
                </c:pt>
                <c:pt idx="697">
                  <c:v>451.87479776107256</c:v>
                </c:pt>
                <c:pt idx="698">
                  <c:v>451.52942996707577</c:v>
                </c:pt>
                <c:pt idx="699">
                  <c:v>451.16910836705085</c:v>
                </c:pt>
                <c:pt idx="700">
                  <c:v>450.79387743720906</c:v>
                </c:pt>
                <c:pt idx="701">
                  <c:v>450.40378177475435</c:v>
                </c:pt>
                <c:pt idx="702">
                  <c:v>449.9988660909205</c:v>
                </c:pt>
                <c:pt idx="703">
                  <c:v>449.57917520408233</c:v>
                </c:pt>
                <c:pt idx="704">
                  <c:v>449.1447540329404</c:v>
                </c:pt>
                <c:pt idx="705">
                  <c:v>448.69564758978117</c:v>
                </c:pt>
                <c:pt idx="706">
                  <c:v>448.23190097381143</c:v>
                </c:pt>
                <c:pt idx="707">
                  <c:v>447.75355936456845</c:v>
                </c:pt>
                <c:pt idx="708">
                  <c:v>447.26046363045907</c:v>
                </c:pt>
                <c:pt idx="709">
                  <c:v>446.75081991570022</c:v>
                </c:pt>
                <c:pt idx="710">
                  <c:v>446.22468056262608</c:v>
                </c:pt>
                <c:pt idx="711">
                  <c:v>445.68209803306036</c:v>
                </c:pt>
                <c:pt idx="712">
                  <c:v>445.1231248998738</c:v>
                </c:pt>
                <c:pt idx="713">
                  <c:v>444.54781383863855</c:v>
                </c:pt>
                <c:pt idx="714">
                  <c:v>443.95621761938168</c:v>
                </c:pt>
                <c:pt idx="715">
                  <c:v>443.34838909843637</c:v>
                </c:pt>
                <c:pt idx="716">
                  <c:v>442.72438121039295</c:v>
                </c:pt>
                <c:pt idx="717">
                  <c:v>442.0842469601489</c:v>
                </c:pt>
                <c:pt idx="718">
                  <c:v>441.42803941505798</c:v>
                </c:pt>
                <c:pt idx="719">
                  <c:v>440.75581169717992</c:v>
                </c:pt>
                <c:pt idx="720">
                  <c:v>440.06761697563013</c:v>
                </c:pt>
                <c:pt idx="721">
                  <c:v>439.36350845902899</c:v>
                </c:pt>
                <c:pt idx="722">
                  <c:v>438.64353938805192</c:v>
                </c:pt>
                <c:pt idx="723">
                  <c:v>437.9077630280799</c:v>
                </c:pt>
                <c:pt idx="724">
                  <c:v>437.15623266195064</c:v>
                </c:pt>
                <c:pt idx="725">
                  <c:v>436.3630341655292</c:v>
                </c:pt>
                <c:pt idx="726">
                  <c:v>435.51719672733282</c:v>
                </c:pt>
                <c:pt idx="727">
                  <c:v>434.67459280480034</c:v>
                </c:pt>
                <c:pt idx="728">
                  <c:v>433.83520250951426</c:v>
                </c:pt>
                <c:pt idx="729">
                  <c:v>432.99900611787803</c:v>
                </c:pt>
                <c:pt idx="730">
                  <c:v>432.1659840694</c:v>
                </c:pt>
                <c:pt idx="731">
                  <c:v>431.33611696499861</c:v>
                </c:pt>
                <c:pt idx="732">
                  <c:v>430.5093855653293</c:v>
                </c:pt>
                <c:pt idx="733">
                  <c:v>429.68577078913165</c:v>
                </c:pt>
                <c:pt idx="734">
                  <c:v>428.8652537115978</c:v>
                </c:pt>
                <c:pt idx="735">
                  <c:v>428.0478155627606</c:v>
                </c:pt>
                <c:pt idx="736">
                  <c:v>427.23343772590175</c:v>
                </c:pt>
                <c:pt idx="737">
                  <c:v>426.42210173598011</c:v>
                </c:pt>
                <c:pt idx="738">
                  <c:v>425.61378927807908</c:v>
                </c:pt>
                <c:pt idx="739">
                  <c:v>424.80848218587278</c:v>
                </c:pt>
                <c:pt idx="740">
                  <c:v>424.00616244011184</c:v>
                </c:pt>
                <c:pt idx="741">
                  <c:v>423.20681216712723</c:v>
                </c:pt>
                <c:pt idx="742">
                  <c:v>422.41041363735246</c:v>
                </c:pt>
                <c:pt idx="743">
                  <c:v>421.61694926386394</c:v>
                </c:pt>
                <c:pt idx="744">
                  <c:v>420.82640160093905</c:v>
                </c:pt>
                <c:pt idx="745">
                  <c:v>420.03875334263211</c:v>
                </c:pt>
                <c:pt idx="746">
                  <c:v>419.25398732136676</c:v>
                </c:pt>
                <c:pt idx="747">
                  <c:v>418.4720865065467</c:v>
                </c:pt>
                <c:pt idx="748">
                  <c:v>417.69303400318182</c:v>
                </c:pt>
                <c:pt idx="749">
                  <c:v>416.91681305053191</c:v>
                </c:pt>
                <c:pt idx="750">
                  <c:v>416.14340702076635</c:v>
                </c:pt>
                <c:pt idx="751">
                  <c:v>415.37279941763984</c:v>
                </c:pt>
                <c:pt idx="752">
                  <c:v>414.60497387518416</c:v>
                </c:pt>
                <c:pt idx="753">
                  <c:v>413.83991415641555</c:v>
                </c:pt>
                <c:pt idx="754">
                  <c:v>413.07760415205729</c:v>
                </c:pt>
                <c:pt idx="755">
                  <c:v>412.31802787927796</c:v>
                </c:pt>
                <c:pt idx="756">
                  <c:v>411.56116948044433</c:v>
                </c:pt>
                <c:pt idx="757">
                  <c:v>410.80701322188918</c:v>
                </c:pt>
                <c:pt idx="758">
                  <c:v>410.05554349269369</c:v>
                </c:pt>
                <c:pt idx="759">
                  <c:v>409.30674480348426</c:v>
                </c:pt>
                <c:pt idx="760">
                  <c:v>408.56060178524359</c:v>
                </c:pt>
                <c:pt idx="761">
                  <c:v>407.81709918813561</c:v>
                </c:pt>
                <c:pt idx="762">
                  <c:v>407.07622188034429</c:v>
                </c:pt>
                <c:pt idx="763">
                  <c:v>406.33795484692598</c:v>
                </c:pt>
                <c:pt idx="764">
                  <c:v>405.60228318867547</c:v>
                </c:pt>
                <c:pt idx="765">
                  <c:v>404.86919212100497</c:v>
                </c:pt>
                <c:pt idx="766">
                  <c:v>404.13866697283612</c:v>
                </c:pt>
                <c:pt idx="767">
                  <c:v>403.41069318550541</c:v>
                </c:pt>
                <c:pt idx="768">
                  <c:v>402.68525631168171</c:v>
                </c:pt>
                <c:pt idx="769">
                  <c:v>401.96234201429638</c:v>
                </c:pt>
                <c:pt idx="770">
                  <c:v>401.24193606548653</c:v>
                </c:pt>
                <c:pt idx="771">
                  <c:v>400.52402434554938</c:v>
                </c:pt>
                <c:pt idx="772">
                  <c:v>399.80859284190933</c:v>
                </c:pt>
                <c:pt idx="773">
                  <c:v>399.09562764809681</c:v>
                </c:pt>
                <c:pt idx="774">
                  <c:v>398.38511496273907</c:v>
                </c:pt>
                <c:pt idx="775">
                  <c:v>397.67704108856151</c:v>
                </c:pt>
                <c:pt idx="776">
                  <c:v>396.97139243140185</c:v>
                </c:pt>
                <c:pt idx="777">
                  <c:v>396.26815549923481</c:v>
                </c:pt>
                <c:pt idx="778">
                  <c:v>395.5673169012075</c:v>
                </c:pt>
                <c:pt idx="779">
                  <c:v>394.86886334668662</c:v>
                </c:pt>
                <c:pt idx="780">
                  <c:v>394.1727816443161</c:v>
                </c:pt>
                <c:pt idx="781">
                  <c:v>393.47905870108491</c:v>
                </c:pt>
                <c:pt idx="782">
                  <c:v>392.78768152140657</c:v>
                </c:pt>
                <c:pt idx="783">
                  <c:v>392.09863720620763</c:v>
                </c:pt>
                <c:pt idx="784">
                  <c:v>391.41191295202748</c:v>
                </c:pt>
                <c:pt idx="785">
                  <c:v>390.72749605012802</c:v>
                </c:pt>
                <c:pt idx="786">
                  <c:v>390.04537388561289</c:v>
                </c:pt>
                <c:pt idx="787">
                  <c:v>389.36553393655691</c:v>
                </c:pt>
                <c:pt idx="788">
                  <c:v>388.68796377314555</c:v>
                </c:pt>
                <c:pt idx="789">
                  <c:v>388.01265105682313</c:v>
                </c:pt>
                <c:pt idx="790">
                  <c:v>387.33958353945127</c:v>
                </c:pt>
                <c:pt idx="791">
                  <c:v>386.66874906247648</c:v>
                </c:pt>
                <c:pt idx="792">
                  <c:v>386.00013555610667</c:v>
                </c:pt>
                <c:pt idx="793">
                  <c:v>385.33373103849738</c:v>
                </c:pt>
                <c:pt idx="794">
                  <c:v>384.66952361494606</c:v>
                </c:pt>
                <c:pt idx="795">
                  <c:v>384.00750147709647</c:v>
                </c:pt>
                <c:pt idx="796">
                  <c:v>383.34765290215068</c:v>
                </c:pt>
                <c:pt idx="797">
                  <c:v>382.68996625209041</c:v>
                </c:pt>
                <c:pt idx="798">
                  <c:v>382.03442997290659</c:v>
                </c:pt>
                <c:pt idx="799">
                  <c:v>381.38103259383746</c:v>
                </c:pt>
                <c:pt idx="800">
                  <c:v>380.72976272661521</c:v>
                </c:pt>
                <c:pt idx="801">
                  <c:v>374.23840274289614</c:v>
                </c:pt>
                <c:pt idx="802">
                  <c:v>367.9553054316508</c:v>
                </c:pt>
                <c:pt idx="803">
                  <c:v>361.86968939092287</c:v>
                </c:pt>
                <c:pt idx="804">
                  <c:v>355.97151617548695</c:v>
                </c:pt>
                <c:pt idx="805">
                  <c:v>350.25142682887468</c:v>
                </c:pt>
                <c:pt idx="806">
                  <c:v>344.70068485537371</c:v>
                </c:pt>
                <c:pt idx="807">
                  <c:v>339.31112487878818</c:v>
                </c:pt>
                <c:pt idx="808">
                  <c:v>334.07510633414495</c:v>
                </c:pt>
                <c:pt idx="809">
                  <c:v>328.98547162336155</c:v>
                </c:pt>
                <c:pt idx="810">
                  <c:v>324.03550823850884</c:v>
                </c:pt>
                <c:pt idx="811">
                  <c:v>319.21891441862044</c:v>
                </c:pt>
                <c:pt idx="812">
                  <c:v>314.52976795962974</c:v>
                </c:pt>
                <c:pt idx="813">
                  <c:v>309.96249784328444</c:v>
                </c:pt>
                <c:pt idx="814">
                  <c:v>305.51185839089885</c:v>
                </c:pt>
                <c:pt idx="815">
                  <c:v>301.1729056824941</c:v>
                </c:pt>
                <c:pt idx="816">
                  <c:v>296.94097601201219</c:v>
                </c:pt>
                <c:pt idx="817">
                  <c:v>292.81166617553924</c:v>
                </c:pt>
                <c:pt idx="818">
                  <c:v>288.78081541237344</c:v>
                </c:pt>
                <c:pt idx="819">
                  <c:v>284.84448883880816</c:v>
                </c:pt>
                <c:pt idx="820">
                  <c:v>280.99896223204883</c:v>
                </c:pt>
                <c:pt idx="821">
                  <c:v>277.24070803709702</c:v>
                </c:pt>
                <c:pt idx="822">
                  <c:v>273.56638248299004</c:v>
                </c:pt>
                <c:pt idx="823">
                  <c:v>269.97281370673335</c:v>
                </c:pt>
                <c:pt idx="824">
                  <c:v>266.45699079381302</c:v>
                </c:pt>
                <c:pt idx="825">
                  <c:v>263.01605365350326</c:v>
                </c:pt>
                <c:pt idx="826">
                  <c:v>259.64728365545312</c:v>
                </c:pt>
                <c:pt idx="827">
                  <c:v>256.34809496136859</c:v>
                </c:pt>
                <c:pt idx="828">
                  <c:v>253.11602649212952</c:v>
                </c:pt>
                <c:pt idx="829">
                  <c:v>249.94873447648212</c:v>
                </c:pt>
                <c:pt idx="830">
                  <c:v>246.84398553262525</c:v>
                </c:pt>
                <c:pt idx="831">
                  <c:v>243.79965023862806</c:v>
                </c:pt>
                <c:pt idx="832">
                  <c:v>240.81369715174907</c:v>
                </c:pt>
                <c:pt idx="833">
                  <c:v>237.88418724042745</c:v>
                </c:pt>
                <c:pt idx="834">
                  <c:v>235.00926869603384</c:v>
                </c:pt>
                <c:pt idx="835">
                  <c:v>232.18717209444821</c:v>
                </c:pt>
                <c:pt idx="836">
                  <c:v>229.41620588021064</c:v>
                </c:pt>
                <c:pt idx="837">
                  <c:v>226.69475214840145</c:v>
                </c:pt>
                <c:pt idx="838">
                  <c:v>224.02126270158092</c:v>
                </c:pt>
                <c:pt idx="839">
                  <c:v>221.39425536108027</c:v>
                </c:pt>
                <c:pt idx="840">
                  <c:v>218.81231051370736</c:v>
                </c:pt>
                <c:pt idx="841">
                  <c:v>216.27406787653371</c:v>
                </c:pt>
                <c:pt idx="842">
                  <c:v>213.77822346388066</c:v>
                </c:pt>
                <c:pt idx="843">
                  <c:v>211.32352674193976</c:v>
                </c:pt>
                <c:pt idx="844">
                  <c:v>208.90877795765513</c:v>
                </c:pt>
                <c:pt idx="845">
                  <c:v>206.5328256295829</c:v>
                </c:pt>
                <c:pt idx="846">
                  <c:v>204.19456418942738</c:v>
                </c:pt>
                <c:pt idx="847">
                  <c:v>201.89293176385533</c:v>
                </c:pt>
                <c:pt idx="848">
                  <c:v>199.62690808700498</c:v>
                </c:pt>
                <c:pt idx="849">
                  <c:v>197.39551253485732</c:v>
                </c:pt>
                <c:pt idx="850">
                  <c:v>195.19780227331614</c:v>
                </c:pt>
                <c:pt idx="851">
                  <c:v>193.03287051246903</c:v>
                </c:pt>
                <c:pt idx="852">
                  <c:v>190.8998448600704</c:v>
                </c:pt>
                <c:pt idx="853">
                  <c:v>188.79788576781093</c:v>
                </c:pt>
                <c:pt idx="854">
                  <c:v>186.72618506441574</c:v>
                </c:pt>
                <c:pt idx="855">
                  <c:v>184.68396457005289</c:v>
                </c:pt>
                <c:pt idx="856">
                  <c:v>182.67047478693669</c:v>
                </c:pt>
                <c:pt idx="857">
                  <c:v>180.6849936613809</c:v>
                </c:pt>
                <c:pt idx="858">
                  <c:v>178.72682541289683</c:v>
                </c:pt>
                <c:pt idx="859">
                  <c:v>176.79529942624541</c:v>
                </c:pt>
                <c:pt idx="860">
                  <c:v>174.8897692026402</c:v>
                </c:pt>
                <c:pt idx="861">
                  <c:v>173.00961136656497</c:v>
                </c:pt>
                <c:pt idx="862">
                  <c:v>171.15422472491477</c:v>
                </c:pt>
                <c:pt idx="863">
                  <c:v>169.32302937539495</c:v>
                </c:pt>
                <c:pt idx="864">
                  <c:v>167.51546586132389</c:v>
                </c:pt>
                <c:pt idx="865">
                  <c:v>165.73099437017646</c:v>
                </c:pt>
                <c:pt idx="866">
                  <c:v>163.96909397338595</c:v>
                </c:pt>
                <c:pt idx="867">
                  <c:v>162.22926190508687</c:v>
                </c:pt>
                <c:pt idx="868">
                  <c:v>160.51101287763498</c:v>
                </c:pt>
                <c:pt idx="869">
                  <c:v>158.81387843188324</c:v>
                </c:pt>
                <c:pt idx="870">
                  <c:v>157.13740632032423</c:v>
                </c:pt>
                <c:pt idx="871">
                  <c:v>155.48115992133222</c:v>
                </c:pt>
                <c:pt idx="872">
                  <c:v>153.84471768285189</c:v>
                </c:pt>
                <c:pt idx="873">
                  <c:v>152.22767259398657</c:v>
                </c:pt>
                <c:pt idx="874">
                  <c:v>150.62963168303699</c:v>
                </c:pt>
                <c:pt idx="875">
                  <c:v>149.05021554063345</c:v>
                </c:pt>
                <c:pt idx="876">
                  <c:v>147.48905786668894</c:v>
                </c:pt>
                <c:pt idx="877">
                  <c:v>145.94580503998083</c:v>
                </c:pt>
                <c:pt idx="878">
                  <c:v>144.42011570924191</c:v>
                </c:pt>
                <c:pt idx="879">
                  <c:v>142.91166040471126</c:v>
                </c:pt>
                <c:pt idx="880">
                  <c:v>141.42012116915882</c:v>
                </c:pt>
                <c:pt idx="881">
                  <c:v>139.94519120745858</c:v>
                </c:pt>
                <c:pt idx="882">
                  <c:v>138.48657455384006</c:v>
                </c:pt>
                <c:pt idx="883">
                  <c:v>137.04398575600098</c:v>
                </c:pt>
                <c:pt idx="884">
                  <c:v>135.61714957531214</c:v>
                </c:pt>
                <c:pt idx="885">
                  <c:v>134.20580070239137</c:v>
                </c:pt>
                <c:pt idx="886">
                  <c:v>132.80968348736542</c:v>
                </c:pt>
                <c:pt idx="887">
                  <c:v>131.42855168417904</c:v>
                </c:pt>
                <c:pt idx="888">
                  <c:v>130.06216820834669</c:v>
                </c:pt>
                <c:pt idx="889">
                  <c:v>128.71030490757707</c:v>
                </c:pt>
                <c:pt idx="890">
                  <c:v>127.37274234473298</c:v>
                </c:pt>
                <c:pt idx="891">
                  <c:v>126.0492695926188</c:v>
                </c:pt>
                <c:pt idx="892">
                  <c:v>124.73968404011509</c:v>
                </c:pt>
                <c:pt idx="893">
                  <c:v>123.44379120920664</c:v>
                </c:pt>
                <c:pt idx="894">
                  <c:v>122.16140458247325</c:v>
                </c:pt>
                <c:pt idx="895">
                  <c:v>120.89234544063505</c:v>
                </c:pt>
                <c:pt idx="896">
                  <c:v>119.6364427097642</c:v>
                </c:pt>
                <c:pt idx="897">
                  <c:v>118.39353281779378</c:v>
                </c:pt>
                <c:pt idx="898">
                  <c:v>117.16345955997126</c:v>
                </c:pt>
                <c:pt idx="899">
                  <c:v>115.94607397291954</c:v>
                </c:pt>
                <c:pt idx="900">
                  <c:v>114.74123421698255</c:v>
                </c:pt>
                <c:pt idx="901">
                  <c:v>113.54880546654451</c:v>
                </c:pt>
                <c:pt idx="902">
                  <c:v>112.36865980802273</c:v>
                </c:pt>
                <c:pt idx="903">
                  <c:v>111.20067614524341</c:v>
                </c:pt>
                <c:pt idx="904">
                  <c:v>110.04474011191789</c:v>
                </c:pt>
                <c:pt idx="905">
                  <c:v>108.90074399094256</c:v>
                </c:pt>
                <c:pt idx="906">
                  <c:v>107.76858664025137</c:v>
                </c:pt>
                <c:pt idx="907">
                  <c:v>106.64817342495259</c:v>
                </c:pt>
                <c:pt idx="908">
                  <c:v>105.53941615548385</c:v>
                </c:pt>
                <c:pt idx="909">
                  <c:v>104.44223303151955</c:v>
                </c:pt>
                <c:pt idx="910">
                  <c:v>103.35654859136335</c:v>
                </c:pt>
                <c:pt idx="911">
                  <c:v>102.28229366655614</c:v>
                </c:pt>
                <c:pt idx="912">
                  <c:v>101.2194053414247</c:v>
                </c:pt>
                <c:pt idx="913">
                  <c:v>100.16782691729017</c:v>
                </c:pt>
                <c:pt idx="914">
                  <c:v>99.127507881047933</c:v>
                </c:pt>
                <c:pt idx="915">
                  <c:v>98.098403877819976</c:v>
                </c:pt>
                <c:pt idx="916">
                  <c:v>97.080476687369668</c:v>
                </c:pt>
                <c:pt idx="917">
                  <c:v>96.073694203954886</c:v>
                </c:pt>
                <c:pt idx="918">
                  <c:v>95.078030419280026</c:v>
                </c:pt>
                <c:pt idx="919">
                  <c:v>94.093465408190085</c:v>
                </c:pt>
                <c:pt idx="920">
                  <c:v>93.119985316729611</c:v>
                </c:pt>
                <c:pt idx="921">
                  <c:v>92.157582352168319</c:v>
                </c:pt>
                <c:pt idx="922">
                  <c:v>91.206254774570539</c:v>
                </c:pt>
                <c:pt idx="923">
                  <c:v>90.266006889460087</c:v>
                </c:pt>
                <c:pt idx="924">
                  <c:v>89.336849041103264</c:v>
                </c:pt>
                <c:pt idx="925">
                  <c:v>88.418797605902725</c:v>
                </c:pt>
                <c:pt idx="926">
                  <c:v>87.511874985361885</c:v>
                </c:pt>
                <c:pt idx="927">
                  <c:v>86.616109598044886</c:v>
                </c:pt>
                <c:pt idx="928">
                  <c:v>85.731535869920464</c:v>
                </c:pt>
                <c:pt idx="929">
                  <c:v>84.858194222439081</c:v>
                </c:pt>
                <c:pt idx="930">
                  <c:v>83.99613105765242</c:v>
                </c:pt>
                <c:pt idx="931">
                  <c:v>83.145398739642232</c:v>
                </c:pt>
                <c:pt idx="932">
                  <c:v>82.306055571481821</c:v>
                </c:pt>
                <c:pt idx="933">
                  <c:v>81.478165766909669</c:v>
                </c:pt>
                <c:pt idx="934">
                  <c:v>80.66179941584889</c:v>
                </c:pt>
                <c:pt idx="935">
                  <c:v>79.85703244286141</c:v>
                </c:pt>
                <c:pt idx="936">
                  <c:v>79.063946557580479</c:v>
                </c:pt>
                <c:pt idx="937">
                  <c:v>78.282629196120979</c:v>
                </c:pt>
                <c:pt idx="938">
                  <c:v>77.513173452424297</c:v>
                </c:pt>
                <c:pt idx="939">
                  <c:v>76.755677998454644</c:v>
                </c:pt>
                <c:pt idx="940">
                  <c:v>76.010246992125587</c:v>
                </c:pt>
                <c:pt idx="941">
                  <c:v>75.276989971803957</c:v>
                </c:pt>
                <c:pt idx="942">
                  <c:v>74.556021736209345</c:v>
                </c:pt>
                <c:pt idx="943">
                  <c:v>73.847462208506826</c:v>
                </c:pt>
                <c:pt idx="944">
                  <c:v>73.151436283376668</c:v>
                </c:pt>
                <c:pt idx="945">
                  <c:v>72.4680736558403</c:v>
                </c:pt>
                <c:pt idx="946">
                  <c:v>71.797508630627732</c:v>
                </c:pt>
                <c:pt idx="947">
                  <c:v>71.139879910889846</c:v>
                </c:pt>
                <c:pt idx="948">
                  <c:v>70.495330365090084</c:v>
                </c:pt>
                <c:pt idx="949">
                  <c:v>69.864006770957943</c:v>
                </c:pt>
                <c:pt idx="950">
                  <c:v>69.246059535449248</c:v>
                </c:pt>
                <c:pt idx="951">
                  <c:v>68.641642389741293</c:v>
                </c:pt>
                <c:pt idx="952">
                  <c:v>68.050912058392569</c:v>
                </c:pt>
                <c:pt idx="953">
                  <c:v>67.47402790192038</c:v>
                </c:pt>
                <c:pt idx="954">
                  <c:v>66.911151532195674</c:v>
                </c:pt>
                <c:pt idx="955">
                  <c:v>66.362446400223575</c:v>
                </c:pt>
                <c:pt idx="956">
                  <c:v>65.828077356072455</c:v>
                </c:pt>
                <c:pt idx="957">
                  <c:v>65.308210180931894</c:v>
                </c:pt>
                <c:pt idx="958">
                  <c:v>64.803011091523018</c:v>
                </c:pt>
                <c:pt idx="959">
                  <c:v>64.312646217351443</c:v>
                </c:pt>
                <c:pt idx="960">
                  <c:v>63.837281051581726</c:v>
                </c:pt>
                <c:pt idx="961">
                  <c:v>63.377079876623633</c:v>
                </c:pt>
                <c:pt idx="962">
                  <c:v>62.932205165848238</c:v>
                </c:pt>
                <c:pt idx="963">
                  <c:v>62.50281696319751</c:v>
                </c:pt>
                <c:pt idx="964">
                  <c:v>62.089072242806274</c:v>
                </c:pt>
                <c:pt idx="965">
                  <c:v>61.691124251118914</c:v>
                </c:pt>
                <c:pt idx="966">
                  <c:v>61.309121834348311</c:v>
                </c:pt>
                <c:pt idx="967">
                  <c:v>60.943208754485113</c:v>
                </c:pt>
                <c:pt idx="968">
                  <c:v>60.593522997415654</c:v>
                </c:pt>
                <c:pt idx="969">
                  <c:v>60.26019607703963</c:v>
                </c:pt>
                <c:pt idx="970">
                  <c:v>59.943352339585743</c:v>
                </c:pt>
                <c:pt idx="971">
                  <c:v>59.643108272598703</c:v>
                </c:pt>
                <c:pt idx="972">
                  <c:v>59.35957182330533</c:v>
                </c:pt>
                <c:pt idx="973">
                  <c:v>59.092841731254801</c:v>
                </c:pt>
                <c:pt idx="974">
                  <c:v>58.843006880260475</c:v>
                </c:pt>
                <c:pt idx="975">
                  <c:v>58.610145674742455</c:v>
                </c:pt>
                <c:pt idx="976">
                  <c:v>58.394325445575433</c:v>
                </c:pt>
                <c:pt idx="977">
                  <c:v>58.195601890481647</c:v>
                </c:pt>
                <c:pt idx="978">
                  <c:v>58.014018553870017</c:v>
                </c:pt>
                <c:pt idx="979">
                  <c:v>57.849606350809736</c:v>
                </c:pt>
                <c:pt idx="980">
                  <c:v>57.702383139538767</c:v>
                </c:pt>
                <c:pt idx="981">
                  <c:v>57.572353346547821</c:v>
                </c:pt>
                <c:pt idx="982">
                  <c:v>57.45950764785124</c:v>
                </c:pt>
                <c:pt idx="983">
                  <c:v>57.363822709565106</c:v>
                </c:pt>
                <c:pt idx="984">
                  <c:v>57.285260990364677</c:v>
                </c:pt>
                <c:pt idx="985">
                  <c:v>57.223770607799302</c:v>
                </c:pt>
                <c:pt idx="986">
                  <c:v>57.179285269811231</c:v>
                </c:pt>
                <c:pt idx="987">
                  <c:v>57.151724272148115</c:v>
                </c:pt>
                <c:pt idx="988">
                  <c:v>57.140992561687909</c:v>
                </c:pt>
                <c:pt idx="989">
                  <c:v>57.146980865023025</c:v>
                </c:pt>
                <c:pt idx="990">
                  <c:v>57.169565880989374</c:v>
                </c:pt>
                <c:pt idx="991">
                  <c:v>57.208610535187873</c:v>
                </c:pt>
                <c:pt idx="992">
                  <c:v>57.263964293942657</c:v>
                </c:pt>
                <c:pt idx="993">
                  <c:v>57.335463534581599</c:v>
                </c:pt>
                <c:pt idx="994">
                  <c:v>57.42293196842062</c:v>
                </c:pt>
                <c:pt idx="995">
                  <c:v>57.526181112391107</c:v>
                </c:pt>
                <c:pt idx="996">
                  <c:v>57.645010804875504</c:v>
                </c:pt>
                <c:pt idx="997">
                  <c:v>57.779209761014428</c:v>
                </c:pt>
                <c:pt idx="998">
                  <c:v>57.928556162522213</c:v>
                </c:pt>
                <c:pt idx="999">
                  <c:v>58.092818276896153</c:v>
                </c:pt>
                <c:pt idx="1000">
                  <c:v>58.271755100828955</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Calculs!$AG$4:$AG$1004</c:f>
              <c:numCache>
                <c:formatCode>0.00</c:formatCode>
                <c:ptCount val="1001"/>
                <c:pt idx="0">
                  <c:v>0</c:v>
                </c:pt>
                <c:pt idx="1">
                  <c:v>0</c:v>
                </c:pt>
                <c:pt idx="2">
                  <c:v>12.427429422547329</c:v>
                </c:pt>
                <c:pt idx="3">
                  <c:v>27.037548494463483</c:v>
                </c:pt>
                <c:pt idx="4">
                  <c:v>41.658539751794457</c:v>
                </c:pt>
                <c:pt idx="5">
                  <c:v>50.658399887891534</c:v>
                </c:pt>
                <c:pt idx="6">
                  <c:v>54.03026984612292</c:v>
                </c:pt>
                <c:pt idx="7">
                  <c:v>57.405871274412263</c:v>
                </c:pt>
                <c:pt idx="8">
                  <c:v>60.785379711822642</c:v>
                </c:pt>
                <c:pt idx="9">
                  <c:v>62.635469472844406</c:v>
                </c:pt>
                <c:pt idx="10">
                  <c:v>62.953539421189262</c:v>
                </c:pt>
                <c:pt idx="11">
                  <c:v>63.271766816853287</c:v>
                </c:pt>
                <c:pt idx="12">
                  <c:v>63.590149883381187</c:v>
                </c:pt>
                <c:pt idx="13">
                  <c:v>63.908686823053998</c:v>
                </c:pt>
                <c:pt idx="14">
                  <c:v>64.227375816846731</c:v>
                </c:pt>
                <c:pt idx="15">
                  <c:v>64.546215024386456</c:v>
                </c:pt>
                <c:pt idx="16">
                  <c:v>64.865202583911426</c:v>
                </c:pt>
                <c:pt idx="17">
                  <c:v>65.184336612230709</c:v>
                </c:pt>
                <c:pt idx="18">
                  <c:v>65.503615204684877</c:v>
                </c:pt>
                <c:pt idx="19">
                  <c:v>65.823036435107255</c:v>
                </c:pt>
                <c:pt idx="20">
                  <c:v>66.14259835578612</c:v>
                </c:pt>
                <c:pt idx="21">
                  <c:v>66.354944072713906</c:v>
                </c:pt>
                <c:pt idx="22">
                  <c:v>66.406180089593207</c:v>
                </c:pt>
                <c:pt idx="23">
                  <c:v>66.457200903886914</c:v>
                </c:pt>
                <c:pt idx="24">
                  <c:v>66.508005653504952</c:v>
                </c:pt>
                <c:pt idx="25">
                  <c:v>66.558593478780566</c:v>
                </c:pt>
                <c:pt idx="26">
                  <c:v>66.6089635225037</c:v>
                </c:pt>
                <c:pt idx="27">
                  <c:v>66.659114929954271</c:v>
                </c:pt>
                <c:pt idx="28">
                  <c:v>66.709046848935429</c:v>
                </c:pt>
                <c:pt idx="29">
                  <c:v>66.758758429806917</c:v>
                </c:pt>
                <c:pt idx="30">
                  <c:v>66.808248825518277</c:v>
                </c:pt>
                <c:pt idx="31">
                  <c:v>66.857517191642245</c:v>
                </c:pt>
                <c:pt idx="32">
                  <c:v>66.906562686407923</c:v>
                </c:pt>
                <c:pt idx="33">
                  <c:v>66.955384470734174</c:v>
                </c:pt>
                <c:pt idx="34">
                  <c:v>67.003981708262828</c:v>
                </c:pt>
                <c:pt idx="35">
                  <c:v>67.052353565391968</c:v>
                </c:pt>
                <c:pt idx="36">
                  <c:v>67.10049921130917</c:v>
                </c:pt>
                <c:pt idx="37">
                  <c:v>67.148417818024754</c:v>
                </c:pt>
                <c:pt idx="38">
                  <c:v>67.196108560405037</c:v>
                </c:pt>
                <c:pt idx="39">
                  <c:v>67.243570616205432</c:v>
                </c:pt>
                <c:pt idx="40">
                  <c:v>67.290803166103771</c:v>
                </c:pt>
                <c:pt idx="41">
                  <c:v>67.34043811878449</c:v>
                </c:pt>
                <c:pt idx="42">
                  <c:v>67.389832539757549</c:v>
                </c:pt>
                <c:pt idx="43">
                  <c:v>67.438944587679131</c:v>
                </c:pt>
                <c:pt idx="44">
                  <c:v>67.487775595378181</c:v>
                </c:pt>
                <c:pt idx="45">
                  <c:v>67.536326754038811</c:v>
                </c:pt>
                <c:pt idx="46">
                  <c:v>67.60843297885495</c:v>
                </c:pt>
                <c:pt idx="47">
                  <c:v>67.686251695405261</c:v>
                </c:pt>
                <c:pt idx="48">
                  <c:v>67.763829526139347</c:v>
                </c:pt>
                <c:pt idx="49">
                  <c:v>67.841166914843939</c:v>
                </c:pt>
                <c:pt idx="50">
                  <c:v>67.918264216476658</c:v>
                </c:pt>
                <c:pt idx="51">
                  <c:v>67.995121704355029</c:v>
                </c:pt>
                <c:pt idx="52">
                  <c:v>68.071739576641335</c:v>
                </c:pt>
                <c:pt idx="53">
                  <c:v>68.148117962205475</c:v>
                </c:pt>
                <c:pt idx="54">
                  <c:v>68.224256925937283</c:v>
                </c:pt>
                <c:pt idx="55">
                  <c:v>68.300156473569871</c:v>
                </c:pt>
                <c:pt idx="56">
                  <c:v>68.375816556068514</c:v>
                </c:pt>
                <c:pt idx="57">
                  <c:v>68.451237073631418</c:v>
                </c:pt>
                <c:pt idx="58">
                  <c:v>68.52641787934401</c:v>
                </c:pt>
                <c:pt idx="59">
                  <c:v>68.601358782522681</c:v>
                </c:pt>
                <c:pt idx="60">
                  <c:v>68.676059551779701</c:v>
                </c:pt>
                <c:pt idx="61">
                  <c:v>68.75051991783748</c:v>
                </c:pt>
                <c:pt idx="62">
                  <c:v>68.824739576116983</c:v>
                </c:pt>
                <c:pt idx="63">
                  <c:v>68.898718189121738</c:v>
                </c:pt>
                <c:pt idx="64">
                  <c:v>68.97245538863794</c:v>
                </c:pt>
                <c:pt idx="65">
                  <c:v>69.045950777766748</c:v>
                </c:pt>
                <c:pt idx="66">
                  <c:v>69.119203932805192</c:v>
                </c:pt>
                <c:pt idx="67">
                  <c:v>69.192214404988945</c:v>
                </c:pt>
                <c:pt idx="68">
                  <c:v>69.264981722109638</c:v>
                </c:pt>
                <c:pt idx="69">
                  <c:v>69.707607718256469</c:v>
                </c:pt>
                <c:pt idx="70">
                  <c:v>70.309113604360405</c:v>
                </c:pt>
                <c:pt idx="71">
                  <c:v>70.910992607565177</c:v>
                </c:pt>
                <c:pt idx="72">
                  <c:v>71.513244010878836</c:v>
                </c:pt>
                <c:pt idx="73">
                  <c:v>72.115867027764267</c:v>
                </c:pt>
                <c:pt idx="74">
                  <c:v>72.718860802018312</c:v>
                </c:pt>
                <c:pt idx="75">
                  <c:v>73.322224407651859</c:v>
                </c:pt>
                <c:pt idx="76">
                  <c:v>73.925956848770397</c:v>
                </c:pt>
                <c:pt idx="77">
                  <c:v>73.847345725726441</c:v>
                </c:pt>
                <c:pt idx="78">
                  <c:v>73.475535541460999</c:v>
                </c:pt>
                <c:pt idx="79">
                  <c:v>73.102916989979121</c:v>
                </c:pt>
                <c:pt idx="80">
                  <c:v>72.729497528216442</c:v>
                </c:pt>
                <c:pt idx="81">
                  <c:v>72.355284599657239</c:v>
                </c:pt>
                <c:pt idx="82">
                  <c:v>71.980285635269851</c:v>
                </c:pt>
                <c:pt idx="83">
                  <c:v>71.604508054332825</c:v>
                </c:pt>
                <c:pt idx="84">
                  <c:v>71.227959265162212</c:v>
                </c:pt>
                <c:pt idx="85">
                  <c:v>70.850646665748428</c:v>
                </c:pt>
                <c:pt idx="86">
                  <c:v>70.565227590022687</c:v>
                </c:pt>
                <c:pt idx="87">
                  <c:v>70.649940502428208</c:v>
                </c:pt>
                <c:pt idx="88">
                  <c:v>70.734415819657698</c:v>
                </c:pt>
                <c:pt idx="89">
                  <c:v>70.818652642658421</c:v>
                </c:pt>
                <c:pt idx="90">
                  <c:v>70.902650066430198</c:v>
                </c:pt>
                <c:pt idx="91">
                  <c:v>70.986407180400931</c:v>
                </c:pt>
                <c:pt idx="92">
                  <c:v>71.069923068784846</c:v>
                </c:pt>
                <c:pt idx="93">
                  <c:v>71.153196810924584</c:v>
                </c:pt>
                <c:pt idx="94">
                  <c:v>71.236227481617789</c:v>
                </c:pt>
                <c:pt idx="95">
                  <c:v>71.31901415142957</c:v>
                </c:pt>
                <c:pt idx="96">
                  <c:v>71.401555886991545</c:v>
                </c:pt>
                <c:pt idx="97">
                  <c:v>71.483851751288086</c:v>
                </c:pt>
                <c:pt idx="98">
                  <c:v>71.565900803930901</c:v>
                </c:pt>
                <c:pt idx="99">
                  <c:v>71.647702101422368</c:v>
                </c:pt>
                <c:pt idx="100">
                  <c:v>71.729254697408351</c:v>
                </c:pt>
                <c:pt idx="101">
                  <c:v>71.810557642921211</c:v>
                </c:pt>
                <c:pt idx="102">
                  <c:v>71.891609986613332</c:v>
                </c:pt>
                <c:pt idx="103">
                  <c:v>71.972410774982109</c:v>
                </c:pt>
                <c:pt idx="104">
                  <c:v>72.052959052586345</c:v>
                </c:pt>
                <c:pt idx="105">
                  <c:v>72.133253862255089</c:v>
                </c:pt>
                <c:pt idx="106">
                  <c:v>72.213294245288864</c:v>
                </c:pt>
                <c:pt idx="107">
                  <c:v>72.293079241654027</c:v>
                </c:pt>
                <c:pt idx="108">
                  <c:v>72.372607890170443</c:v>
                </c:pt>
                <c:pt idx="109">
                  <c:v>72.45187922869296</c:v>
                </c:pt>
                <c:pt idx="110">
                  <c:v>72.5308922942869</c:v>
                </c:pt>
                <c:pt idx="111">
                  <c:v>72.609646123397937</c:v>
                </c:pt>
                <c:pt idx="112">
                  <c:v>72.688139752016667</c:v>
                </c:pt>
                <c:pt idx="113">
                  <c:v>72.766372215838174</c:v>
                </c:pt>
                <c:pt idx="114">
                  <c:v>72.84434255041667</c:v>
                </c:pt>
                <c:pt idx="115">
                  <c:v>72.922049791315715</c:v>
                </c:pt>
                <c:pt idx="116">
                  <c:v>72.999492974254082</c:v>
                </c:pt>
                <c:pt idx="117">
                  <c:v>73.076671135247409</c:v>
                </c:pt>
                <c:pt idx="118">
                  <c:v>73.153583310746129</c:v>
                </c:pt>
                <c:pt idx="119">
                  <c:v>73.230228537769477</c:v>
                </c:pt>
                <c:pt idx="120">
                  <c:v>73.306605854036178</c:v>
                </c:pt>
                <c:pt idx="121">
                  <c:v>73.382714298091543</c:v>
                </c:pt>
                <c:pt idx="122">
                  <c:v>73.458552909431418</c:v>
                </c:pt>
                <c:pt idx="123">
                  <c:v>73.534120728623279</c:v>
                </c:pt>
                <c:pt idx="124">
                  <c:v>73.609416797424061</c:v>
                </c:pt>
                <c:pt idx="125">
                  <c:v>73.684440158895399</c:v>
                </c:pt>
                <c:pt idx="126">
                  <c:v>73.759189857516219</c:v>
                </c:pt>
                <c:pt idx="127">
                  <c:v>73.83366493929276</c:v>
                </c:pt>
                <c:pt idx="128">
                  <c:v>73.907864451866047</c:v>
                </c:pt>
                <c:pt idx="129">
                  <c:v>73.981787444617225</c:v>
                </c:pt>
                <c:pt idx="130">
                  <c:v>74.055432968770504</c:v>
                </c:pt>
                <c:pt idx="131">
                  <c:v>74.128800077494134</c:v>
                </c:pt>
                <c:pt idx="132">
                  <c:v>74.201887825999222</c:v>
                </c:pt>
                <c:pt idx="133">
                  <c:v>74.274695271636588</c:v>
                </c:pt>
                <c:pt idx="134">
                  <c:v>74.347221473991866</c:v>
                </c:pt>
                <c:pt idx="135">
                  <c:v>74.419465494978638</c:v>
                </c:pt>
                <c:pt idx="136">
                  <c:v>74.491426398930059</c:v>
                </c:pt>
                <c:pt idx="137">
                  <c:v>74.563103252688606</c:v>
                </c:pt>
                <c:pt idx="138">
                  <c:v>74.6344951256944</c:v>
                </c:pt>
                <c:pt idx="139">
                  <c:v>74.705601090071838</c:v>
                </c:pt>
                <c:pt idx="140">
                  <c:v>74.776420220715039</c:v>
                </c:pt>
                <c:pt idx="141">
                  <c:v>74.846951595371451</c:v>
                </c:pt>
                <c:pt idx="142">
                  <c:v>74.917194294724581</c:v>
                </c:pt>
                <c:pt idx="143">
                  <c:v>74.987147402474946</c:v>
                </c:pt>
                <c:pt idx="144">
                  <c:v>75.056810005420161</c:v>
                </c:pt>
                <c:pt idx="145">
                  <c:v>75.126181193533526</c:v>
                </c:pt>
                <c:pt idx="146">
                  <c:v>75.195260060041605</c:v>
                </c:pt>
                <c:pt idx="147">
                  <c:v>75.264045701500507</c:v>
                </c:pt>
                <c:pt idx="148">
                  <c:v>75.332537217871334</c:v>
                </c:pt>
                <c:pt idx="149">
                  <c:v>75.40073371259426</c:v>
                </c:pt>
                <c:pt idx="150">
                  <c:v>75.468634292661832</c:v>
                </c:pt>
                <c:pt idx="151">
                  <c:v>75.536238068691134</c:v>
                </c:pt>
                <c:pt idx="152">
                  <c:v>75.603544154995078</c:v>
                </c:pt>
                <c:pt idx="153">
                  <c:v>75.670551669652639</c:v>
                </c:pt>
                <c:pt idx="154">
                  <c:v>75.737259734578416</c:v>
                </c:pt>
                <c:pt idx="155">
                  <c:v>75.803667475591155</c:v>
                </c:pt>
                <c:pt idx="156">
                  <c:v>75.869774022481323</c:v>
                </c:pt>
                <c:pt idx="157">
                  <c:v>75.935578509078169</c:v>
                </c:pt>
                <c:pt idx="158">
                  <c:v>76.00108007331572</c:v>
                </c:pt>
                <c:pt idx="159">
                  <c:v>76.066277857298118</c:v>
                </c:pt>
                <c:pt idx="160">
                  <c:v>76.131171007364102</c:v>
                </c:pt>
                <c:pt idx="161">
                  <c:v>76.195758674151023</c:v>
                </c:pt>
                <c:pt idx="162">
                  <c:v>76.260040012657683</c:v>
                </c:pt>
                <c:pt idx="163">
                  <c:v>76.324014182306954</c:v>
                </c:pt>
                <c:pt idx="164">
                  <c:v>76.387680347007404</c:v>
                </c:pt>
                <c:pt idx="165">
                  <c:v>76.451037675214394</c:v>
                </c:pt>
                <c:pt idx="166">
                  <c:v>76.514085339990487</c:v>
                </c:pt>
                <c:pt idx="167">
                  <c:v>76.576822519065246</c:v>
                </c:pt>
                <c:pt idx="168">
                  <c:v>76.639248394894352</c:v>
                </c:pt>
                <c:pt idx="169">
                  <c:v>76.701362154718282</c:v>
                </c:pt>
                <c:pt idx="170">
                  <c:v>76.763162990620103</c:v>
                </c:pt>
                <c:pt idx="171">
                  <c:v>76.824650099583025</c:v>
                </c:pt>
                <c:pt idx="172">
                  <c:v>76.885822683547133</c:v>
                </c:pt>
                <c:pt idx="173">
                  <c:v>76.946679949465647</c:v>
                </c:pt>
                <c:pt idx="174">
                  <c:v>77.007221109360742</c:v>
                </c:pt>
                <c:pt idx="175">
                  <c:v>77.067445380378587</c:v>
                </c:pt>
                <c:pt idx="176">
                  <c:v>77.127351984844111</c:v>
                </c:pt>
                <c:pt idx="177">
                  <c:v>77.186940150315039</c:v>
                </c:pt>
                <c:pt idx="178">
                  <c:v>77.246209109635672</c:v>
                </c:pt>
                <c:pt idx="179">
                  <c:v>77.305158100989843</c:v>
                </c:pt>
                <c:pt idx="180">
                  <c:v>77.363786367953679</c:v>
                </c:pt>
                <c:pt idx="181">
                  <c:v>77.422093159547671</c:v>
                </c:pt>
                <c:pt idx="182">
                  <c:v>77.4800777302884</c:v>
                </c:pt>
                <c:pt idx="183">
                  <c:v>77.537739340239639</c:v>
                </c:pt>
                <c:pt idx="184">
                  <c:v>77.595077255063217</c:v>
                </c:pt>
                <c:pt idx="185">
                  <c:v>77.652090746069135</c:v>
                </c:pt>
                <c:pt idx="186">
                  <c:v>77.708779090265537</c:v>
                </c:pt>
                <c:pt idx="187">
                  <c:v>77.765141570407934</c:v>
                </c:pt>
                <c:pt idx="188">
                  <c:v>77.82117747504816</c:v>
                </c:pt>
                <c:pt idx="189">
                  <c:v>77.876886098582929</c:v>
                </c:pt>
                <c:pt idx="190">
                  <c:v>77.932266741301774</c:v>
                </c:pt>
                <c:pt idx="191">
                  <c:v>77.987318709434703</c:v>
                </c:pt>
                <c:pt idx="192">
                  <c:v>78.042041315199356</c:v>
                </c:pt>
                <c:pt idx="193">
                  <c:v>78.096433876847797</c:v>
                </c:pt>
                <c:pt idx="194">
                  <c:v>78.150495718712804</c:v>
                </c:pt>
                <c:pt idx="195">
                  <c:v>78.204226171253865</c:v>
                </c:pt>
                <c:pt idx="196">
                  <c:v>78.257624571102539</c:v>
                </c:pt>
                <c:pt idx="197">
                  <c:v>78.310690261107723</c:v>
                </c:pt>
                <c:pt idx="198">
                  <c:v>78.36342259038021</c:v>
                </c:pt>
                <c:pt idx="199">
                  <c:v>78.41582091433699</c:v>
                </c:pt>
                <c:pt idx="200">
                  <c:v>78.467884594745172</c:v>
                </c:pt>
                <c:pt idx="201">
                  <c:v>78.519612999765414</c:v>
                </c:pt>
                <c:pt idx="202">
                  <c:v>78.57100550399494</c:v>
                </c:pt>
                <c:pt idx="203">
                  <c:v>78.622061488510354</c:v>
                </c:pt>
                <c:pt idx="204">
                  <c:v>78.672780340909725</c:v>
                </c:pt>
                <c:pt idx="205">
                  <c:v>78.723161455354628</c:v>
                </c:pt>
                <c:pt idx="206">
                  <c:v>78.773204232611562</c:v>
                </c:pt>
                <c:pt idx="207">
                  <c:v>78.822908080093001</c:v>
                </c:pt>
                <c:pt idx="208">
                  <c:v>78.872272411898194</c:v>
                </c:pt>
                <c:pt idx="209">
                  <c:v>78.921296648853357</c:v>
                </c:pt>
                <c:pt idx="210">
                  <c:v>78.969980218551683</c:v>
                </c:pt>
                <c:pt idx="211">
                  <c:v>79.018322555392871</c:v>
                </c:pt>
                <c:pt idx="212">
                  <c:v>79.066323100622157</c:v>
                </c:pt>
                <c:pt idx="213">
                  <c:v>79.113981302369282</c:v>
                </c:pt>
                <c:pt idx="214">
                  <c:v>79.161296615686567</c:v>
                </c:pt>
                <c:pt idx="215">
                  <c:v>79.208268502587217</c:v>
                </c:pt>
                <c:pt idx="216">
                  <c:v>79.254896432082617</c:v>
                </c:pt>
                <c:pt idx="217">
                  <c:v>79.30117988021982</c:v>
                </c:pt>
                <c:pt idx="218">
                  <c:v>79.347118330118164</c:v>
                </c:pt>
                <c:pt idx="219">
                  <c:v>79.392711272005712</c:v>
                </c:pt>
                <c:pt idx="220">
                  <c:v>79.437958203255519</c:v>
                </c:pt>
                <c:pt idx="221">
                  <c:v>79.482858628421084</c:v>
                </c:pt>
                <c:pt idx="222">
                  <c:v>79.527412059271725</c:v>
                </c:pt>
                <c:pt idx="223">
                  <c:v>79.571618014827436</c:v>
                </c:pt>
                <c:pt idx="224">
                  <c:v>79.615476021393405</c:v>
                </c:pt>
                <c:pt idx="225">
                  <c:v>79.658985612594208</c:v>
                </c:pt>
                <c:pt idx="226">
                  <c:v>79.702146329407441</c:v>
                </c:pt>
                <c:pt idx="227">
                  <c:v>79.744957720197164</c:v>
                </c:pt>
                <c:pt idx="228">
                  <c:v>79.787419340746794</c:v>
                </c:pt>
                <c:pt idx="229">
                  <c:v>79.829530754291753</c:v>
                </c:pt>
                <c:pt idx="230">
                  <c:v>79.871291531551549</c:v>
                </c:pt>
                <c:pt idx="231">
                  <c:v>79.912701250761728</c:v>
                </c:pt>
                <c:pt idx="232">
                  <c:v>79.953759497705192</c:v>
                </c:pt>
                <c:pt idx="233">
                  <c:v>79.99446586574318</c:v>
                </c:pt>
                <c:pt idx="234">
                  <c:v>80.03481995584599</c:v>
                </c:pt>
                <c:pt idx="235">
                  <c:v>80.07482137662322</c:v>
                </c:pt>
                <c:pt idx="236">
                  <c:v>80.114469744353499</c:v>
                </c:pt>
                <c:pt idx="237">
                  <c:v>80.15376468301416</c:v>
                </c:pt>
                <c:pt idx="238">
                  <c:v>80.192705824310039</c:v>
                </c:pt>
                <c:pt idx="239">
                  <c:v>80.231292807702431</c:v>
                </c:pt>
                <c:pt idx="240">
                  <c:v>80.269525280437065</c:v>
                </c:pt>
                <c:pt idx="241">
                  <c:v>80.307402897572217</c:v>
                </c:pt>
                <c:pt idx="242">
                  <c:v>80.344925322006162</c:v>
                </c:pt>
                <c:pt idx="243">
                  <c:v>80.38209222450422</c:v>
                </c:pt>
                <c:pt idx="244">
                  <c:v>80.804092566968549</c:v>
                </c:pt>
                <c:pt idx="245">
                  <c:v>81.225956252667359</c:v>
                </c:pt>
                <c:pt idx="246">
                  <c:v>81.647680548965511</c:v>
                </c:pt>
                <c:pt idx="247">
                  <c:v>82.069262694667245</c:v>
                </c:pt>
                <c:pt idx="248">
                  <c:v>82.490699900101518</c:v>
                </c:pt>
                <c:pt idx="249">
                  <c:v>82.911989347208944</c:v>
                </c:pt>
                <c:pt idx="250">
                  <c:v>83.33312818963087</c:v>
                </c:pt>
                <c:pt idx="251">
                  <c:v>83.754113552799822</c:v>
                </c:pt>
                <c:pt idx="252">
                  <c:v>84.174942534031914</c:v>
                </c:pt>
                <c:pt idx="253">
                  <c:v>84.382418910687107</c:v>
                </c:pt>
                <c:pt idx="254">
                  <c:v>84.376277482339859</c:v>
                </c:pt>
                <c:pt idx="255">
                  <c:v>84.369718770194737</c:v>
                </c:pt>
                <c:pt idx="256">
                  <c:v>84.362743103258978</c:v>
                </c:pt>
                <c:pt idx="257">
                  <c:v>84.355350821065386</c:v>
                </c:pt>
                <c:pt idx="258">
                  <c:v>84.347542273667699</c:v>
                </c:pt>
                <c:pt idx="259">
                  <c:v>84.339317821635831</c:v>
                </c:pt>
                <c:pt idx="260">
                  <c:v>84.330677836050086</c:v>
                </c:pt>
                <c:pt idx="261">
                  <c:v>84.321622698495034</c:v>
                </c:pt>
                <c:pt idx="262">
                  <c:v>84.31215280105252</c:v>
                </c:pt>
                <c:pt idx="263">
                  <c:v>84.302268546294272</c:v>
                </c:pt>
                <c:pt idx="264">
                  <c:v>84.291970347273605</c:v>
                </c:pt>
                <c:pt idx="265">
                  <c:v>84.281258627516976</c:v>
                </c:pt>
                <c:pt idx="266">
                  <c:v>84.270133821014355</c:v>
                </c:pt>
                <c:pt idx="267">
                  <c:v>84.258596372209396</c:v>
                </c:pt>
                <c:pt idx="268">
                  <c:v>84.246646735988818</c:v>
                </c:pt>
                <c:pt idx="269">
                  <c:v>84.23428537767127</c:v>
                </c:pt>
                <c:pt idx="270">
                  <c:v>84.221512772995396</c:v>
                </c:pt>
                <c:pt idx="271">
                  <c:v>84.208329408107573</c:v>
                </c:pt>
                <c:pt idx="272">
                  <c:v>84.19473577954885</c:v>
                </c:pt>
                <c:pt idx="273">
                  <c:v>84.180732394241332</c:v>
                </c:pt>
                <c:pt idx="274">
                  <c:v>84.166319769473944</c:v>
                </c:pt>
                <c:pt idx="275">
                  <c:v>84.151498432887763</c:v>
                </c:pt>
                <c:pt idx="276">
                  <c:v>84.13626892246036</c:v>
                </c:pt>
                <c:pt idx="277">
                  <c:v>84.110233163646228</c:v>
                </c:pt>
                <c:pt idx="278">
                  <c:v>84.068177500564218</c:v>
                </c:pt>
                <c:pt idx="279">
                  <c:v>84.025703533122467</c:v>
                </c:pt>
                <c:pt idx="280">
                  <c:v>83.982812260086973</c:v>
                </c:pt>
                <c:pt idx="281">
                  <c:v>83.939504690643844</c:v>
                </c:pt>
                <c:pt idx="282">
                  <c:v>83.895781844357515</c:v>
                </c:pt>
                <c:pt idx="283">
                  <c:v>83.851644751128234</c:v>
                </c:pt>
                <c:pt idx="284">
                  <c:v>83.807094451148885</c:v>
                </c:pt>
                <c:pt idx="285">
                  <c:v>83.762131994861335</c:v>
                </c:pt>
                <c:pt idx="286">
                  <c:v>83.71675844291218</c:v>
                </c:pt>
                <c:pt idx="287">
                  <c:v>83.670974866107855</c:v>
                </c:pt>
                <c:pt idx="288">
                  <c:v>83.624782345369226</c:v>
                </c:pt>
                <c:pt idx="289">
                  <c:v>83.578181971685623</c:v>
                </c:pt>
                <c:pt idx="290">
                  <c:v>83.531174846068282</c:v>
                </c:pt>
                <c:pt idx="291">
                  <c:v>83.483762079503194</c:v>
                </c:pt>
                <c:pt idx="292">
                  <c:v>83.435944792903513</c:v>
                </c:pt>
                <c:pt idx="293">
                  <c:v>83.387724117061353</c:v>
                </c:pt>
                <c:pt idx="294">
                  <c:v>83.33910119259896</c:v>
                </c:pt>
                <c:pt idx="295">
                  <c:v>83.29007716991957</c:v>
                </c:pt>
                <c:pt idx="296">
                  <c:v>83.240653209157415</c:v>
                </c:pt>
                <c:pt idx="297">
                  <c:v>83.190830480127602</c:v>
                </c:pt>
                <c:pt idx="298">
                  <c:v>83.140610162275067</c:v>
                </c:pt>
                <c:pt idx="299">
                  <c:v>83.089993444623303</c:v>
                </c:pt>
                <c:pt idx="300">
                  <c:v>83.038981525722406</c:v>
                </c:pt>
                <c:pt idx="301">
                  <c:v>82.987575613596803</c:v>
                </c:pt>
                <c:pt idx="302">
                  <c:v>82.935776925692238</c:v>
                </c:pt>
                <c:pt idx="303">
                  <c:v>82.883586688822419</c:v>
                </c:pt>
                <c:pt idx="304">
                  <c:v>82.831006139115189</c:v>
                </c:pt>
                <c:pt idx="305">
                  <c:v>82.7780365219581</c:v>
                </c:pt>
                <c:pt idx="306">
                  <c:v>82.724679091943642</c:v>
                </c:pt>
                <c:pt idx="307">
                  <c:v>82.670935112813851</c:v>
                </c:pt>
                <c:pt idx="308">
                  <c:v>82.616805857404586</c:v>
                </c:pt>
                <c:pt idx="309">
                  <c:v>82.562292607589299</c:v>
                </c:pt>
                <c:pt idx="310">
                  <c:v>82.507396654222219</c:v>
                </c:pt>
                <c:pt idx="311">
                  <c:v>82.452119297081339</c:v>
                </c:pt>
                <c:pt idx="312">
                  <c:v>82.396461844810716</c:v>
                </c:pt>
                <c:pt idx="313">
                  <c:v>82.340425614862482</c:v>
                </c:pt>
                <c:pt idx="314">
                  <c:v>82.284011933438322</c:v>
                </c:pt>
                <c:pt idx="315">
                  <c:v>82.227222135430537</c:v>
                </c:pt>
                <c:pt idx="316">
                  <c:v>82.17005756436285</c:v>
                </c:pt>
                <c:pt idx="317">
                  <c:v>82.112519572330399</c:v>
                </c:pt>
                <c:pt idx="318">
                  <c:v>82.054609519939874</c:v>
                </c:pt>
                <c:pt idx="319">
                  <c:v>81.996328776248589</c:v>
                </c:pt>
                <c:pt idx="320">
                  <c:v>81.937678718703864</c:v>
                </c:pt>
                <c:pt idx="321">
                  <c:v>81.878660733081347</c:v>
                </c:pt>
                <c:pt idx="322">
                  <c:v>81.81927621342335</c:v>
                </c:pt>
                <c:pt idx="323">
                  <c:v>81.759526561976813</c:v>
                </c:pt>
                <c:pt idx="324">
                  <c:v>81.69941318913051</c:v>
                </c:pt>
                <c:pt idx="325">
                  <c:v>81.63893751335236</c:v>
                </c:pt>
                <c:pt idx="326">
                  <c:v>81.578100961125983</c:v>
                </c:pt>
                <c:pt idx="327">
                  <c:v>81.516904966887196</c:v>
                </c:pt>
                <c:pt idx="328">
                  <c:v>81.455350972959863</c:v>
                </c:pt>
                <c:pt idx="329">
                  <c:v>81.393440429491676</c:v>
                </c:pt>
                <c:pt idx="330">
                  <c:v>81.331174794389284</c:v>
                </c:pt>
                <c:pt idx="331">
                  <c:v>81.268555533253405</c:v>
                </c:pt>
                <c:pt idx="332">
                  <c:v>81.205584119313372</c:v>
                </c:pt>
                <c:pt idx="333">
                  <c:v>81.142262033361462</c:v>
                </c:pt>
                <c:pt idx="334">
                  <c:v>81.078590763686748</c:v>
                </c:pt>
                <c:pt idx="335">
                  <c:v>81.014571806008902</c:v>
                </c:pt>
                <c:pt idx="336">
                  <c:v>80.950206663411436</c:v>
                </c:pt>
                <c:pt idx="337">
                  <c:v>80.885496846274748</c:v>
                </c:pt>
                <c:pt idx="338">
                  <c:v>80.820443872208855</c:v>
                </c:pt>
                <c:pt idx="339">
                  <c:v>80.755049265985832</c:v>
                </c:pt>
                <c:pt idx="340">
                  <c:v>80.689314559471967</c:v>
                </c:pt>
                <c:pt idx="341">
                  <c:v>80.62324129155958</c:v>
                </c:pt>
                <c:pt idx="342">
                  <c:v>80.556831008098683</c:v>
                </c:pt>
                <c:pt idx="343">
                  <c:v>80.490085261828227</c:v>
                </c:pt>
                <c:pt idx="344">
                  <c:v>80.431816484746378</c:v>
                </c:pt>
                <c:pt idx="345">
                  <c:v>80.452567902261947</c:v>
                </c:pt>
                <c:pt idx="346">
                  <c:v>80.472995143372259</c:v>
                </c:pt>
                <c:pt idx="347">
                  <c:v>80.493098482535373</c:v>
                </c:pt>
                <c:pt idx="348">
                  <c:v>80.512878201940822</c:v>
                </c:pt>
                <c:pt idx="349">
                  <c:v>80.5323345915061</c:v>
                </c:pt>
                <c:pt idx="350">
                  <c:v>80.551467948872741</c:v>
                </c:pt>
                <c:pt idx="351">
                  <c:v>80.570278579402071</c:v>
                </c:pt>
                <c:pt idx="352">
                  <c:v>80.588766796170589</c:v>
                </c:pt>
                <c:pt idx="353">
                  <c:v>80.606932919965018</c:v>
                </c:pt>
                <c:pt idx="354">
                  <c:v>80.624777279276941</c:v>
                </c:pt>
                <c:pt idx="355">
                  <c:v>80.642300210297293</c:v>
                </c:pt>
                <c:pt idx="356">
                  <c:v>80.659502056910142</c:v>
                </c:pt>
                <c:pt idx="357">
                  <c:v>80.676383170686549</c:v>
                </c:pt>
                <c:pt idx="358">
                  <c:v>80.69294391087773</c:v>
                </c:pt>
                <c:pt idx="359">
                  <c:v>80.709184644408055</c:v>
                </c:pt>
                <c:pt idx="360">
                  <c:v>80.725105745867737</c:v>
                </c:pt>
                <c:pt idx="361">
                  <c:v>80.740707597504922</c:v>
                </c:pt>
                <c:pt idx="362">
                  <c:v>80.755990589217745</c:v>
                </c:pt>
                <c:pt idx="363">
                  <c:v>80.770955118545942</c:v>
                </c:pt>
                <c:pt idx="364">
                  <c:v>80.785601590661855</c:v>
                </c:pt>
                <c:pt idx="365">
                  <c:v>80.799930418361626</c:v>
                </c:pt>
                <c:pt idx="366">
                  <c:v>80.813942022055528</c:v>
                </c:pt>
                <c:pt idx="367">
                  <c:v>80.82763682975822</c:v>
                </c:pt>
                <c:pt idx="368">
                  <c:v>80.841015277078682</c:v>
                </c:pt>
                <c:pt idx="369">
                  <c:v>80.854077807209592</c:v>
                </c:pt>
                <c:pt idx="370">
                  <c:v>80.866824870916702</c:v>
                </c:pt>
                <c:pt idx="371">
                  <c:v>80.879256926527532</c:v>
                </c:pt>
                <c:pt idx="372">
                  <c:v>80.891374439919971</c:v>
                </c:pt>
                <c:pt idx="373">
                  <c:v>80.845335578963329</c:v>
                </c:pt>
                <c:pt idx="374">
                  <c:v>80.798985626129152</c:v>
                </c:pt>
                <c:pt idx="375">
                  <c:v>80.75232590341777</c:v>
                </c:pt>
                <c:pt idx="376">
                  <c:v>80.705357739305057</c:v>
                </c:pt>
                <c:pt idx="377">
                  <c:v>80.658082468687269</c:v>
                </c:pt>
                <c:pt idx="378">
                  <c:v>80.610501432825771</c:v>
                </c:pt>
                <c:pt idx="379">
                  <c:v>80.562615979291252</c:v>
                </c:pt>
                <c:pt idx="380">
                  <c:v>80.51442746190817</c:v>
                </c:pt>
                <c:pt idx="381">
                  <c:v>80.465937240698224</c:v>
                </c:pt>
                <c:pt idx="382">
                  <c:v>80.417146681824306</c:v>
                </c:pt>
                <c:pt idx="383">
                  <c:v>80.36805715753394</c:v>
                </c:pt>
                <c:pt idx="384">
                  <c:v>80.318670046102483</c:v>
                </c:pt>
                <c:pt idx="385">
                  <c:v>80.26898673177611</c:v>
                </c:pt>
                <c:pt idx="386">
                  <c:v>80.219008604714759</c:v>
                </c:pt>
                <c:pt idx="387">
                  <c:v>80.168737060934703</c:v>
                </c:pt>
                <c:pt idx="388">
                  <c:v>80.118173502250912</c:v>
                </c:pt>
                <c:pt idx="389">
                  <c:v>80.067319336219441</c:v>
                </c:pt>
                <c:pt idx="390">
                  <c:v>80.01617597607941</c:v>
                </c:pt>
                <c:pt idx="391">
                  <c:v>79.96474484069482</c:v>
                </c:pt>
                <c:pt idx="392">
                  <c:v>79.913027354496307</c:v>
                </c:pt>
                <c:pt idx="393">
                  <c:v>79.861024947422763</c:v>
                </c:pt>
                <c:pt idx="394">
                  <c:v>79.808739054862471</c:v>
                </c:pt>
                <c:pt idx="395">
                  <c:v>79.756171117594477</c:v>
                </c:pt>
                <c:pt idx="396">
                  <c:v>79.703322581729438</c:v>
                </c:pt>
                <c:pt idx="397">
                  <c:v>79.650194898650639</c:v>
                </c:pt>
                <c:pt idx="398">
                  <c:v>79.596789524954744</c:v>
                </c:pt>
                <c:pt idx="399">
                  <c:v>79.543107922392224</c:v>
                </c:pt>
                <c:pt idx="400">
                  <c:v>79.489151557807844</c:v>
                </c:pt>
                <c:pt idx="401">
                  <c:v>79.434921903080948</c:v>
                </c:pt>
                <c:pt idx="402">
                  <c:v>79.380420435065702</c:v>
                </c:pt>
                <c:pt idx="403">
                  <c:v>79.325648635530996</c:v>
                </c:pt>
                <c:pt idx="404">
                  <c:v>79.270607991100377</c:v>
                </c:pt>
                <c:pt idx="405">
                  <c:v>79.21529999319192</c:v>
                </c:pt>
                <c:pt idx="406">
                  <c:v>79.15972613795789</c:v>
                </c:pt>
                <c:pt idx="407">
                  <c:v>79.103887926224132</c:v>
                </c:pt>
                <c:pt idx="408">
                  <c:v>79.047786863429693</c:v>
                </c:pt>
                <c:pt idx="409">
                  <c:v>78.925879405629857</c:v>
                </c:pt>
                <c:pt idx="410">
                  <c:v>78.787329530531792</c:v>
                </c:pt>
                <c:pt idx="411">
                  <c:v>78.648542271630106</c:v>
                </c:pt>
                <c:pt idx="412">
                  <c:v>78.509520499501576</c:v>
                </c:pt>
                <c:pt idx="413">
                  <c:v>78.370267083901567</c:v>
                </c:pt>
                <c:pt idx="414">
                  <c:v>78.230784893638486</c:v>
                </c:pt>
                <c:pt idx="415">
                  <c:v>78.091076796448903</c:v>
                </c:pt>
                <c:pt idx="416">
                  <c:v>77.95114565887323</c:v>
                </c:pt>
                <c:pt idx="417">
                  <c:v>77.810994346131764</c:v>
                </c:pt>
                <c:pt idx="418">
                  <c:v>77.670625722001475</c:v>
                </c:pt>
                <c:pt idx="419">
                  <c:v>77.530042648693325</c:v>
                </c:pt>
                <c:pt idx="420">
                  <c:v>77.389247986729998</c:v>
                </c:pt>
                <c:pt idx="421">
                  <c:v>77.248244594824484</c:v>
                </c:pt>
                <c:pt idx="422">
                  <c:v>77.107035329758816</c:v>
                </c:pt>
                <c:pt idx="423">
                  <c:v>76.965623046263843</c:v>
                </c:pt>
                <c:pt idx="424">
                  <c:v>76.824010596899441</c:v>
                </c:pt>
                <c:pt idx="425">
                  <c:v>76.682200831935191</c:v>
                </c:pt>
                <c:pt idx="426">
                  <c:v>76.540196599231891</c:v>
                </c:pt>
                <c:pt idx="427">
                  <c:v>76.398000744123436</c:v>
                </c:pt>
                <c:pt idx="428">
                  <c:v>76.255616109299595</c:v>
                </c:pt>
                <c:pt idx="429">
                  <c:v>76.113045534689192</c:v>
                </c:pt>
                <c:pt idx="430">
                  <c:v>75.970291857344108</c:v>
                </c:pt>
                <c:pt idx="431">
                  <c:v>75.827357911323844</c:v>
                </c:pt>
                <c:pt idx="432">
                  <c:v>75.684246527580711</c:v>
                </c:pt>
                <c:pt idx="433">
                  <c:v>75.540960533845663</c:v>
                </c:pt>
                <c:pt idx="434">
                  <c:v>75.397502754515003</c:v>
                </c:pt>
                <c:pt idx="435">
                  <c:v>75.253876010537525</c:v>
                </c:pt>
                <c:pt idx="436">
                  <c:v>75.110083119302317</c:v>
                </c:pt>
                <c:pt idx="437">
                  <c:v>74.966126894527562</c:v>
                </c:pt>
                <c:pt idx="438">
                  <c:v>74.822010146149651</c:v>
                </c:pt>
                <c:pt idx="439">
                  <c:v>74.677735680213246</c:v>
                </c:pt>
                <c:pt idx="440">
                  <c:v>74.533306298761957</c:v>
                </c:pt>
                <c:pt idx="441">
                  <c:v>74.388724799729772</c:v>
                </c:pt>
                <c:pt idx="442">
                  <c:v>74.243993976833067</c:v>
                </c:pt>
                <c:pt idx="443">
                  <c:v>74.09911661946353</c:v>
                </c:pt>
                <c:pt idx="444">
                  <c:v>73.954095512581716</c:v>
                </c:pt>
                <c:pt idx="445">
                  <c:v>73.808933436611284</c:v>
                </c:pt>
                <c:pt idx="446">
                  <c:v>73.663633167334098</c:v>
                </c:pt>
                <c:pt idx="447">
                  <c:v>73.518197475785925</c:v>
                </c:pt>
                <c:pt idx="448">
                  <c:v>73.372629128153065</c:v>
                </c:pt>
                <c:pt idx="449">
                  <c:v>73.226930885669461</c:v>
                </c:pt>
                <c:pt idx="450">
                  <c:v>73.081105504514795</c:v>
                </c:pt>
                <c:pt idx="451">
                  <c:v>72.935155735713451</c:v>
                </c:pt>
                <c:pt idx="452">
                  <c:v>72.789084325033755</c:v>
                </c:pt>
                <c:pt idx="453">
                  <c:v>72.642894012888434</c:v>
                </c:pt>
                <c:pt idx="454">
                  <c:v>72.496587534235886</c:v>
                </c:pt>
                <c:pt idx="455">
                  <c:v>72.350167618481791</c:v>
                </c:pt>
                <c:pt idx="456">
                  <c:v>72.20363698938192</c:v>
                </c:pt>
                <c:pt idx="457">
                  <c:v>72.0569983649455</c:v>
                </c:pt>
                <c:pt idx="458">
                  <c:v>71.910254457339519</c:v>
                </c:pt>
                <c:pt idx="459">
                  <c:v>71.763407972793786</c:v>
                </c:pt>
                <c:pt idx="460">
                  <c:v>71.616461611506665</c:v>
                </c:pt>
                <c:pt idx="461">
                  <c:v>71.469418067551729</c:v>
                </c:pt>
                <c:pt idx="462">
                  <c:v>71.322280028785286</c:v>
                </c:pt>
                <c:pt idx="463">
                  <c:v>71.175050176754468</c:v>
                </c:pt>
                <c:pt idx="464">
                  <c:v>71.027731186606459</c:v>
                </c:pt>
                <c:pt idx="465">
                  <c:v>70.880325726998265</c:v>
                </c:pt>
                <c:pt idx="466">
                  <c:v>70.732836460007348</c:v>
                </c:pt>
                <c:pt idx="467">
                  <c:v>70.585266041043326</c:v>
                </c:pt>
                <c:pt idx="468">
                  <c:v>70.437617118760102</c:v>
                </c:pt>
                <c:pt idx="469">
                  <c:v>70.289892334969224</c:v>
                </c:pt>
                <c:pt idx="470">
                  <c:v>70.142094324553625</c:v>
                </c:pt>
                <c:pt idx="471">
                  <c:v>69.994225715382683</c:v>
                </c:pt>
                <c:pt idx="472">
                  <c:v>69.846289128227681</c:v>
                </c:pt>
                <c:pt idx="473">
                  <c:v>69.698287176678576</c:v>
                </c:pt>
                <c:pt idx="474">
                  <c:v>69.550222467060919</c:v>
                </c:pt>
                <c:pt idx="475">
                  <c:v>69.402097598354359</c:v>
                </c:pt>
                <c:pt idx="476">
                  <c:v>69.253915162111625</c:v>
                </c:pt>
                <c:pt idx="477">
                  <c:v>69.105677742378163</c:v>
                </c:pt>
                <c:pt idx="478">
                  <c:v>68.957387915613026</c:v>
                </c:pt>
                <c:pt idx="479">
                  <c:v>68.809048250610445</c:v>
                </c:pt>
                <c:pt idx="480">
                  <c:v>68.660661308422064</c:v>
                </c:pt>
                <c:pt idx="481">
                  <c:v>68.512229642280346</c:v>
                </c:pt>
                <c:pt idx="482">
                  <c:v>68.363755797522543</c:v>
                </c:pt>
                <c:pt idx="483">
                  <c:v>68.215242311515766</c:v>
                </c:pt>
                <c:pt idx="484">
                  <c:v>68.066691713582827</c:v>
                </c:pt>
                <c:pt idx="485">
                  <c:v>67.918106524928703</c:v>
                </c:pt>
                <c:pt idx="486">
                  <c:v>67.769489258568257</c:v>
                </c:pt>
                <c:pt idx="487">
                  <c:v>67.620842419254558</c:v>
                </c:pt>
                <c:pt idx="488">
                  <c:v>67.472168503408028</c:v>
                </c:pt>
                <c:pt idx="489">
                  <c:v>67.323469999046722</c:v>
                </c:pt>
                <c:pt idx="490">
                  <c:v>67.174749385717121</c:v>
                </c:pt>
                <c:pt idx="491">
                  <c:v>67.026009134425962</c:v>
                </c:pt>
                <c:pt idx="492">
                  <c:v>66.87725170757318</c:v>
                </c:pt>
                <c:pt idx="493">
                  <c:v>66.728479558884999</c:v>
                </c:pt>
                <c:pt idx="494">
                  <c:v>66.579695133348721</c:v>
                </c:pt>
                <c:pt idx="495">
                  <c:v>66.430900867147756</c:v>
                </c:pt>
                <c:pt idx="496">
                  <c:v>66.282099187597836</c:v>
                </c:pt>
                <c:pt idx="497">
                  <c:v>66.112099069693556</c:v>
                </c:pt>
                <c:pt idx="498">
                  <c:v>65.920904165872386</c:v>
                </c:pt>
                <c:pt idx="499">
                  <c:v>65.729744607484875</c:v>
                </c:pt>
                <c:pt idx="500">
                  <c:v>65.538623424110725</c:v>
                </c:pt>
                <c:pt idx="501">
                  <c:v>65.347543630912298</c:v>
                </c:pt>
                <c:pt idx="502">
                  <c:v>65.156508228562956</c:v>
                </c:pt>
                <c:pt idx="503">
                  <c:v>64.965520203176922</c:v>
                </c:pt>
                <c:pt idx="504">
                  <c:v>64.774582526240636</c:v>
                </c:pt>
                <c:pt idx="505">
                  <c:v>64.583698154545516</c:v>
                </c:pt>
                <c:pt idx="506">
                  <c:v>64.392870030121799</c:v>
                </c:pt>
                <c:pt idx="507">
                  <c:v>64.202101080173961</c:v>
                </c:pt>
                <c:pt idx="508">
                  <c:v>64.011394217017553</c:v>
                </c:pt>
                <c:pt idx="509">
                  <c:v>63.82075233801735</c:v>
                </c:pt>
                <c:pt idx="510">
                  <c:v>63.630178325526742</c:v>
                </c:pt>
                <c:pt idx="511">
                  <c:v>63.439675046828718</c:v>
                </c:pt>
                <c:pt idx="512">
                  <c:v>63.24924535407802</c:v>
                </c:pt>
                <c:pt idx="513">
                  <c:v>63.058892084244548</c:v>
                </c:pt>
                <c:pt idx="514">
                  <c:v>62.868618059058434</c:v>
                </c:pt>
                <c:pt idx="515">
                  <c:v>62.678426084956335</c:v>
                </c:pt>
                <c:pt idx="516">
                  <c:v>62.488318953028681</c:v>
                </c:pt>
                <c:pt idx="517">
                  <c:v>62.298299438968968</c:v>
                </c:pt>
                <c:pt idx="518">
                  <c:v>62.108370303023797</c:v>
                </c:pt>
                <c:pt idx="519">
                  <c:v>61.918534289944297</c:v>
                </c:pt>
                <c:pt idx="520">
                  <c:v>61.728794128939207</c:v>
                </c:pt>
                <c:pt idx="521">
                  <c:v>61.539152533629085</c:v>
                </c:pt>
                <c:pt idx="522">
                  <c:v>61.34961220200146</c:v>
                </c:pt>
                <c:pt idx="523">
                  <c:v>61.160175816367939</c:v>
                </c:pt>
                <c:pt idx="524">
                  <c:v>60.970846043322176</c:v>
                </c:pt>
                <c:pt idx="525">
                  <c:v>60.781625533699213</c:v>
                </c:pt>
                <c:pt idx="526">
                  <c:v>60.592516922536163</c:v>
                </c:pt>
                <c:pt idx="527">
                  <c:v>60.403522829034102</c:v>
                </c:pt>
                <c:pt idx="528">
                  <c:v>60.214645856521287</c:v>
                </c:pt>
                <c:pt idx="529">
                  <c:v>60.025888592417708</c:v>
                </c:pt>
                <c:pt idx="530">
                  <c:v>59.837253608200534</c:v>
                </c:pt>
                <c:pt idx="531">
                  <c:v>59.648743459371566</c:v>
                </c:pt>
                <c:pt idx="532">
                  <c:v>59.460360685424945</c:v>
                </c:pt>
                <c:pt idx="533">
                  <c:v>59.272107809816987</c:v>
                </c:pt>
                <c:pt idx="534">
                  <c:v>59.083987339936741</c:v>
                </c:pt>
                <c:pt idx="535">
                  <c:v>58.896001767077912</c:v>
                </c:pt>
                <c:pt idx="536">
                  <c:v>58.708153566412072</c:v>
                </c:pt>
                <c:pt idx="537">
                  <c:v>58.520445196963067</c:v>
                </c:pt>
                <c:pt idx="538">
                  <c:v>58.332879101582392</c:v>
                </c:pt>
                <c:pt idx="539">
                  <c:v>58.145457706926251</c:v>
                </c:pt>
                <c:pt idx="540">
                  <c:v>57.958183423433269</c:v>
                </c:pt>
                <c:pt idx="541">
                  <c:v>57.771058645303896</c:v>
                </c:pt>
                <c:pt idx="542">
                  <c:v>57.584085750480611</c:v>
                </c:pt>
                <c:pt idx="543">
                  <c:v>57.397267100629321</c:v>
                </c:pt>
                <c:pt idx="544">
                  <c:v>57.210605041122477</c:v>
                </c:pt>
                <c:pt idx="545">
                  <c:v>57.024101901022391</c:v>
                </c:pt>
                <c:pt idx="546">
                  <c:v>56.83775999306647</c:v>
                </c:pt>
                <c:pt idx="547">
                  <c:v>56.651581613653491</c:v>
                </c:pt>
                <c:pt idx="548">
                  <c:v>56.465569042830708</c:v>
                </c:pt>
                <c:pt idx="549">
                  <c:v>56.279724544282153</c:v>
                </c:pt>
                <c:pt idx="550">
                  <c:v>56.079674987287085</c:v>
                </c:pt>
                <c:pt idx="551">
                  <c:v>55.846246592436231</c:v>
                </c:pt>
                <c:pt idx="552">
                  <c:v>55.6130503432396</c:v>
                </c:pt>
                <c:pt idx="553">
                  <c:v>55.380089080011842</c:v>
                </c:pt>
                <c:pt idx="554">
                  <c:v>55.147365619226854</c:v>
                </c:pt>
                <c:pt idx="555">
                  <c:v>54.914882753519542</c:v>
                </c:pt>
                <c:pt idx="556">
                  <c:v>54.682643251689043</c:v>
                </c:pt>
                <c:pt idx="557">
                  <c:v>54.450649858703443</c:v>
                </c:pt>
                <c:pt idx="558">
                  <c:v>54.218905295706833</c:v>
                </c:pt>
                <c:pt idx="559">
                  <c:v>53.98741226002717</c:v>
                </c:pt>
                <c:pt idx="560">
                  <c:v>53.756173425186496</c:v>
                </c:pt>
                <c:pt idx="561">
                  <c:v>53.525191440912472</c:v>
                </c:pt>
                <c:pt idx="562">
                  <c:v>53.294468933151428</c:v>
                </c:pt>
                <c:pt idx="563">
                  <c:v>53.06400850408339</c:v>
                </c:pt>
                <c:pt idx="564">
                  <c:v>52.833812732138213</c:v>
                </c:pt>
                <c:pt idx="565">
                  <c:v>52.603884172013643</c:v>
                </c:pt>
                <c:pt idx="566">
                  <c:v>52.374225354695099</c:v>
                </c:pt>
                <c:pt idx="567">
                  <c:v>52.14483878747626</c:v>
                </c:pt>
                <c:pt idx="568">
                  <c:v>51.915726953981945</c:v>
                </c:pt>
                <c:pt idx="569">
                  <c:v>51.686892314192292</c:v>
                </c:pt>
                <c:pt idx="570">
                  <c:v>51.458337304468088</c:v>
                </c:pt>
                <c:pt idx="571">
                  <c:v>51.230064337578263</c:v>
                </c:pt>
                <c:pt idx="572">
                  <c:v>51.002075802727944</c:v>
                </c:pt>
                <c:pt idx="573">
                  <c:v>50.774374065588873</c:v>
                </c:pt>
                <c:pt idx="574">
                  <c:v>50.546961468330679</c:v>
                </c:pt>
                <c:pt idx="575">
                  <c:v>50.31984032965395</c:v>
                </c:pt>
                <c:pt idx="576">
                  <c:v>50.09301294482411</c:v>
                </c:pt>
                <c:pt idx="577">
                  <c:v>49.866481585707554</c:v>
                </c:pt>
                <c:pt idx="578">
                  <c:v>49.640248500808354</c:v>
                </c:pt>
                <c:pt idx="579">
                  <c:v>49.414315915306894</c:v>
                </c:pt>
                <c:pt idx="580">
                  <c:v>49.188686031099472</c:v>
                </c:pt>
                <c:pt idx="581">
                  <c:v>48.963361026839536</c:v>
                </c:pt>
                <c:pt idx="582">
                  <c:v>48.738343057979989</c:v>
                </c:pt>
                <c:pt idx="583">
                  <c:v>48.513634256816871</c:v>
                </c:pt>
                <c:pt idx="584">
                  <c:v>48.28923673253442</c:v>
                </c:pt>
                <c:pt idx="585">
                  <c:v>48.065152571251311</c:v>
                </c:pt>
                <c:pt idx="586">
                  <c:v>47.841383836068132</c:v>
                </c:pt>
                <c:pt idx="587">
                  <c:v>47.617932567116242</c:v>
                </c:pt>
                <c:pt idx="588">
                  <c:v>47.394800781607501</c:v>
                </c:pt>
                <c:pt idx="589">
                  <c:v>47.171990473885714</c:v>
                </c:pt>
                <c:pt idx="590">
                  <c:v>46.949503615478861</c:v>
                </c:pt>
                <c:pt idx="591">
                  <c:v>46.727342155152733</c:v>
                </c:pt>
                <c:pt idx="592">
                  <c:v>46.505508018965415</c:v>
                </c:pt>
                <c:pt idx="593">
                  <c:v>46.284003110323461</c:v>
                </c:pt>
                <c:pt idx="594">
                  <c:v>46.062829310038595</c:v>
                </c:pt>
                <c:pt idx="595">
                  <c:v>45.841988476386035</c:v>
                </c:pt>
                <c:pt idx="596">
                  <c:v>45.62148244516348</c:v>
                </c:pt>
                <c:pt idx="597">
                  <c:v>45.40131302975157</c:v>
                </c:pt>
                <c:pt idx="598">
                  <c:v>45.181482021175029</c:v>
                </c:pt>
                <c:pt idx="599">
                  <c:v>44.961991188165342</c:v>
                </c:pt>
                <c:pt idx="600">
                  <c:v>44.742842277223971</c:v>
                </c:pt>
                <c:pt idx="601">
                  <c:v>44.524037012686897</c:v>
                </c:pt>
                <c:pt idx="602">
                  <c:v>44.305577096790053</c:v>
                </c:pt>
                <c:pt idx="603">
                  <c:v>44.087464209735906</c:v>
                </c:pt>
                <c:pt idx="604">
                  <c:v>43.86970000976072</c:v>
                </c:pt>
                <c:pt idx="605">
                  <c:v>43.652286133203091</c:v>
                </c:pt>
                <c:pt idx="606">
                  <c:v>43.435224194573351</c:v>
                </c:pt>
                <c:pt idx="607">
                  <c:v>43.218515786623634</c:v>
                </c:pt>
                <c:pt idx="608">
                  <c:v>43.002162480419244</c:v>
                </c:pt>
                <c:pt idx="609">
                  <c:v>42.786165825410777</c:v>
                </c:pt>
                <c:pt idx="610">
                  <c:v>42.57052734950706</c:v>
                </c:pt>
                <c:pt idx="611">
                  <c:v>42.355248559149004</c:v>
                </c:pt>
                <c:pt idx="612">
                  <c:v>42.012222878367773</c:v>
                </c:pt>
                <c:pt idx="613">
                  <c:v>41.669766719628853</c:v>
                </c:pt>
                <c:pt idx="614">
                  <c:v>41.327883030580892</c:v>
                </c:pt>
                <c:pt idx="615">
                  <c:v>40.986574712037566</c:v>
                </c:pt>
                <c:pt idx="616">
                  <c:v>40.645844618156289</c:v>
                </c:pt>
                <c:pt idx="617">
                  <c:v>40.305695556619696</c:v>
                </c:pt>
                <c:pt idx="618">
                  <c:v>39.966130288818768</c:v>
                </c:pt>
                <c:pt idx="619">
                  <c:v>39.627151530038681</c:v>
                </c:pt>
                <c:pt idx="620">
                  <c:v>39.288761949647196</c:v>
                </c:pt>
                <c:pt idx="621">
                  <c:v>38.95096417128515</c:v>
                </c:pt>
                <c:pt idx="622">
                  <c:v>38.613760773059333</c:v>
                </c:pt>
                <c:pt idx="623">
                  <c:v>38.277154287737844</c:v>
                </c:pt>
                <c:pt idx="624">
                  <c:v>37.94114720294715</c:v>
                </c:pt>
                <c:pt idx="625">
                  <c:v>37.605741961371962</c:v>
                </c:pt>
                <c:pt idx="626">
                  <c:v>37.270940960956636</c:v>
                </c:pt>
                <c:pt idx="627">
                  <c:v>36.936746555108982</c:v>
                </c:pt>
                <c:pt idx="628">
                  <c:v>36.603161052906181</c:v>
                </c:pt>
                <c:pt idx="629">
                  <c:v>36.270186719302195</c:v>
                </c:pt>
                <c:pt idx="630">
                  <c:v>35.937825775337757</c:v>
                </c:pt>
                <c:pt idx="631">
                  <c:v>35.606080398351757</c:v>
                </c:pt>
                <c:pt idx="632">
                  <c:v>35.274952722194655</c:v>
                </c:pt>
                <c:pt idx="633">
                  <c:v>34.944444837443847</c:v>
                </c:pt>
                <c:pt idx="634">
                  <c:v>34.614558791620439</c:v>
                </c:pt>
                <c:pt idx="635">
                  <c:v>34.285296589408027</c:v>
                </c:pt>
                <c:pt idx="636">
                  <c:v>33.956660192873038</c:v>
                </c:pt>
                <c:pt idx="637">
                  <c:v>33.628651521686706</c:v>
                </c:pt>
                <c:pt idx="638">
                  <c:v>33.301272453348709</c:v>
                </c:pt>
                <c:pt idx="639">
                  <c:v>32.974524823412061</c:v>
                </c:pt>
                <c:pt idx="640">
                  <c:v>32.648410425709862</c:v>
                </c:pt>
                <c:pt idx="641">
                  <c:v>32.322931012583481</c:v>
                </c:pt>
                <c:pt idx="642">
                  <c:v>31.998088295111643</c:v>
                </c:pt>
                <c:pt idx="643">
                  <c:v>31.673883943341576</c:v>
                </c:pt>
                <c:pt idx="644">
                  <c:v>31.350319586521259</c:v>
                </c:pt>
                <c:pt idx="645">
                  <c:v>31.027396813332338</c:v>
                </c:pt>
                <c:pt idx="646">
                  <c:v>30.349635205831532</c:v>
                </c:pt>
                <c:pt idx="647">
                  <c:v>29.633668883868324</c:v>
                </c:pt>
                <c:pt idx="648">
                  <c:v>28.919107343248115</c:v>
                </c:pt>
                <c:pt idx="649">
                  <c:v>28.205958618013323</c:v>
                </c:pt>
                <c:pt idx="650">
                  <c:v>27.494230565043232</c:v>
                </c:pt>
                <c:pt idx="651">
                  <c:v>26.783930864981627</c:v>
                </c:pt>
                <c:pt idx="652">
                  <c:v>26.075067023179372</c:v>
                </c:pt>
                <c:pt idx="653">
                  <c:v>25.367646370650618</c:v>
                </c:pt>
                <c:pt idx="654">
                  <c:v>24.661676065043316</c:v>
                </c:pt>
                <c:pt idx="655">
                  <c:v>23.95716309162286</c:v>
                </c:pt>
                <c:pt idx="656">
                  <c:v>23.254114264268829</c:v>
                </c:pt>
                <c:pt idx="657">
                  <c:v>22.552536226484431</c:v>
                </c:pt>
                <c:pt idx="658">
                  <c:v>21.852435452418362</c:v>
                </c:pt>
                <c:pt idx="659">
                  <c:v>21.153818247898545</c:v>
                </c:pt>
                <c:pt idx="660">
                  <c:v>20.456690751477637</c:v>
                </c:pt>
                <c:pt idx="661">
                  <c:v>19.761058935489501</c:v>
                </c:pt>
                <c:pt idx="662">
                  <c:v>19.066928607116957</c:v>
                </c:pt>
                <c:pt idx="663">
                  <c:v>18.374305409469919</c:v>
                </c:pt>
                <c:pt idx="664">
                  <c:v>17.68319482267378</c:v>
                </c:pt>
                <c:pt idx="665">
                  <c:v>16.993602164967641</c:v>
                </c:pt>
                <c:pt idx="666">
                  <c:v>15.552094764351109</c:v>
                </c:pt>
                <c:pt idx="667">
                  <c:v>13.925307174800569</c:v>
                </c:pt>
                <c:pt idx="668">
                  <c:v>12.302171825371454</c:v>
                </c:pt>
                <c:pt idx="669">
                  <c:v>10.682726547023835</c:v>
                </c:pt>
                <c:pt idx="670">
                  <c:v>9.0670082827828793</c:v>
                </c:pt>
                <c:pt idx="671">
                  <c:v>7.4550530917836593</c:v>
                </c:pt>
                <c:pt idx="672">
                  <c:v>5.8468961534812216</c:v>
                </c:pt>
                <c:pt idx="673">
                  <c:v>4.2425717720226412</c:v>
                </c:pt>
                <c:pt idx="674">
                  <c:v>2.6421133807763564</c:v>
                </c:pt>
                <c:pt idx="675">
                  <c:v>1.0455535470152491</c:v>
                </c:pt>
                <c:pt idx="676">
                  <c:v>-0.54707602325136229</c:v>
                </c:pt>
                <c:pt idx="677">
                  <c:v>-2.1357444802999961</c:v>
                </c:pt>
                <c:pt idx="678">
                  <c:v>-3.7204218255748041</c:v>
                </c:pt>
                <c:pt idx="679">
                  <c:v>-5.3010789064316528</c:v>
                </c:pt>
                <c:pt idx="680">
                  <c:v>-6.8776874107495409</c:v>
                </c:pt>
                <c:pt idx="681">
                  <c:v>-8.4502198614131867</c:v>
                </c:pt>
                <c:pt idx="682">
                  <c:v>-10.018649610670604</c:v>
                </c:pt>
                <c:pt idx="683">
                  <c:v>-11.582950834369463</c:v>
                </c:pt>
                <c:pt idx="684">
                  <c:v>-13.143098526077456</c:v>
                </c:pt>
                <c:pt idx="685">
                  <c:v>-14.699068491088871</c:v>
                </c:pt>
                <c:pt idx="686">
                  <c:v>-16.250837340322526</c:v>
                </c:pt>
                <c:pt idx="687">
                  <c:v>-17.798382484115031</c:v>
                </c:pt>
                <c:pt idx="688">
                  <c:v>-19.341682125912406</c:v>
                </c:pt>
                <c:pt idx="689">
                  <c:v>-20.880715255864992</c:v>
                </c:pt>
                <c:pt idx="690">
                  <c:v>-22.415461644328374</c:v>
                </c:pt>
                <c:pt idx="691">
                  <c:v>-23.945901835275407</c:v>
                </c:pt>
                <c:pt idx="692">
                  <c:v>-25.472017139621823</c:v>
                </c:pt>
                <c:pt idx="693">
                  <c:v>-26.993789628470232</c:v>
                </c:pt>
                <c:pt idx="694">
                  <c:v>-28.511202126275698</c:v>
                </c:pt>
                <c:pt idx="695">
                  <c:v>-30.024238203936378</c:v>
                </c:pt>
                <c:pt idx="696">
                  <c:v>-31.532882171813618</c:v>
                </c:pt>
                <c:pt idx="697">
                  <c:v>-33.03711907268422</c:v>
                </c:pt>
                <c:pt idx="698">
                  <c:v>-34.536934674629016</c:v>
                </c:pt>
                <c:pt idx="699">
                  <c:v>-36.032315463861195</c:v>
                </c:pt>
                <c:pt idx="700">
                  <c:v>-37.523248637497645</c:v>
                </c:pt>
                <c:pt idx="701">
                  <c:v>-39.009722096276818</c:v>
                </c:pt>
                <c:pt idx="702">
                  <c:v>-40.491724437226765</c:v>
                </c:pt>
                <c:pt idx="703">
                  <c:v>-41.969244946286267</c:v>
                </c:pt>
                <c:pt idx="704">
                  <c:v>-43.442273590882728</c:v>
                </c:pt>
                <c:pt idx="705">
                  <c:v>-44.910801012469861</c:v>
                </c:pt>
                <c:pt idx="706">
                  <c:v>-46.374818519028651</c:v>
                </c:pt>
                <c:pt idx="707">
                  <c:v>-47.834318077534057</c:v>
                </c:pt>
                <c:pt idx="708">
                  <c:v>-49.309730801138571</c:v>
                </c:pt>
                <c:pt idx="709">
                  <c:v>-50.96452910949732</c:v>
                </c:pt>
                <c:pt idx="710">
                  <c:v>-52.614093190936906</c:v>
                </c:pt>
                <c:pt idx="711">
                  <c:v>-54.258411096520092</c:v>
                </c:pt>
                <c:pt idx="712">
                  <c:v>-55.897471721601995</c:v>
                </c:pt>
                <c:pt idx="713">
                  <c:v>-57.531264796055389</c:v>
                </c:pt>
                <c:pt idx="714">
                  <c:v>-59.159780874449901</c:v>
                </c:pt>
                <c:pt idx="715">
                  <c:v>-60.783011326190369</c:v>
                </c:pt>
                <c:pt idx="716">
                  <c:v>-62.400948325617627</c:v>
                </c:pt>
                <c:pt idx="717">
                  <c:v>-64.013584842077321</c:v>
                </c:pt>
                <c:pt idx="718">
                  <c:v>-65.620914629959543</c:v>
                </c:pt>
                <c:pt idx="719">
                  <c:v>-67.222932218714561</c:v>
                </c:pt>
                <c:pt idx="720">
                  <c:v>-68.819632902847829</c:v>
                </c:pt>
                <c:pt idx="721">
                  <c:v>-70.411012731899064</c:v>
                </c:pt>
                <c:pt idx="722">
                  <c:v>-71.997068500408602</c:v>
                </c:pt>
                <c:pt idx="723">
                  <c:v>-73.577797737874846</c:v>
                </c:pt>
                <c:pt idx="724">
                  <c:v>-75.153198698707527</c:v>
                </c:pt>
                <c:pt idx="725">
                  <c:v>-79.320012089854401</c:v>
                </c:pt>
                <c:pt idx="726">
                  <c:v>-84.583906650429952</c:v>
                </c:pt>
                <c:pt idx="727">
                  <c:v>-84.260555467555847</c:v>
                </c:pt>
                <c:pt idx="728">
                  <c:v>-83.939193126862435</c:v>
                </c:pt>
                <c:pt idx="729">
                  <c:v>-83.619803146261063</c:v>
                </c:pt>
                <c:pt idx="730">
                  <c:v>-83.302369215271256</c:v>
                </c:pt>
                <c:pt idx="731">
                  <c:v>-82.986875192870727</c:v>
                </c:pt>
                <c:pt idx="732">
                  <c:v>-82.673305105376429</c:v>
                </c:pt>
                <c:pt idx="733">
                  <c:v>-82.361643144357089</c:v>
                </c:pt>
                <c:pt idx="734">
                  <c:v>-82.051873664575567</c:v>
                </c:pt>
                <c:pt idx="735">
                  <c:v>-81.743981181961814</c:v>
                </c:pt>
                <c:pt idx="736">
                  <c:v>-81.437950371614718</c:v>
                </c:pt>
                <c:pt idx="737">
                  <c:v>-81.133766065833029</c:v>
                </c:pt>
                <c:pt idx="738">
                  <c:v>-80.831413252174869</c:v>
                </c:pt>
                <c:pt idx="739">
                  <c:v>-80.530877071545191</c:v>
                </c:pt>
                <c:pt idx="740">
                  <c:v>-80.2321428163105</c:v>
                </c:pt>
                <c:pt idx="741">
                  <c:v>-79.935195928441047</c:v>
                </c:pt>
                <c:pt idx="742">
                  <c:v>-79.640021997679412</c:v>
                </c:pt>
                <c:pt idx="743">
                  <c:v>-79.346606759735337</c:v>
                </c:pt>
                <c:pt idx="744">
                  <c:v>-79.05493609450626</c:v>
                </c:pt>
                <c:pt idx="745">
                  <c:v>-78.764996024323111</c:v>
                </c:pt>
                <c:pt idx="746">
                  <c:v>-78.476772712221546</c:v>
                </c:pt>
                <c:pt idx="747">
                  <c:v>-78.190252460236906</c:v>
                </c:pt>
                <c:pt idx="748">
                  <c:v>-77.905421707724074</c:v>
                </c:pt>
                <c:pt idx="749">
                  <c:v>-77.622267029700339</c:v>
                </c:pt>
                <c:pt idx="750">
                  <c:v>-77.34077513521234</c:v>
                </c:pt>
                <c:pt idx="751">
                  <c:v>-77.060932865725448</c:v>
                </c:pt>
                <c:pt idx="752">
                  <c:v>-76.782727193535877</c:v>
                </c:pt>
                <c:pt idx="753">
                  <c:v>-76.506145220205369</c:v>
                </c:pt>
                <c:pt idx="754">
                  <c:v>-76.231174175017145</c:v>
                </c:pt>
                <c:pt idx="755">
                  <c:v>-75.957801413454092</c:v>
                </c:pt>
                <c:pt idx="756">
                  <c:v>-75.686014415697514</c:v>
                </c:pt>
                <c:pt idx="757">
                  <c:v>-75.415800785147198</c:v>
                </c:pt>
                <c:pt idx="758">
                  <c:v>-75.147148246961734</c:v>
                </c:pt>
                <c:pt idx="759">
                  <c:v>-74.880044646619226</c:v>
                </c:pt>
                <c:pt idx="760">
                  <c:v>-74.614477948497765</c:v>
                </c:pt>
                <c:pt idx="761">
                  <c:v>-74.350436234475325</c:v>
                </c:pt>
                <c:pt idx="762">
                  <c:v>-74.087907702549316</c:v>
                </c:pt>
                <c:pt idx="763">
                  <c:v>-73.826880665474874</c:v>
                </c:pt>
                <c:pt idx="764">
                  <c:v>-73.567343549421423</c:v>
                </c:pt>
                <c:pt idx="765">
                  <c:v>-73.309284892648392</c:v>
                </c:pt>
                <c:pt idx="766">
                  <c:v>-73.052693344198531</c:v>
                </c:pt>
                <c:pt idx="767">
                  <c:v>-72.797557662608668</c:v>
                </c:pt>
                <c:pt idx="768">
                  <c:v>-72.543866714638995</c:v>
                </c:pt>
                <c:pt idx="769">
                  <c:v>-72.291609474018614</c:v>
                </c:pt>
                <c:pt idx="770">
                  <c:v>-72.040775020208429</c:v>
                </c:pt>
                <c:pt idx="771">
                  <c:v>-71.791352537181012</c:v>
                </c:pt>
                <c:pt idx="772">
                  <c:v>-71.543331312216623</c:v>
                </c:pt>
                <c:pt idx="773">
                  <c:v>-71.296700734715245</c:v>
                </c:pt>
                <c:pt idx="774">
                  <c:v>-71.051450295025134</c:v>
                </c:pt>
                <c:pt idx="775">
                  <c:v>-70.807569583286764</c:v>
                </c:pt>
                <c:pt idx="776">
                  <c:v>-70.565048288291877</c:v>
                </c:pt>
                <c:pt idx="777">
                  <c:v>-70.323876196358583</c:v>
                </c:pt>
                <c:pt idx="778">
                  <c:v>-70.084043190220839</c:v>
                </c:pt>
                <c:pt idx="779">
                  <c:v>-69.84553924793272</c:v>
                </c:pt>
                <c:pt idx="780">
                  <c:v>-69.608354441787611</c:v>
                </c:pt>
                <c:pt idx="781">
                  <c:v>-69.372478937251344</c:v>
                </c:pt>
                <c:pt idx="782">
                  <c:v>-69.137902991909712</c:v>
                </c:pt>
                <c:pt idx="783">
                  <c:v>-68.904616954429713</c:v>
                </c:pt>
                <c:pt idx="784">
                  <c:v>-68.672611263534407</c:v>
                </c:pt>
                <c:pt idx="785">
                  <c:v>-68.441876446991586</c:v>
                </c:pt>
                <c:pt idx="786">
                  <c:v>-68.212403120615363</c:v>
                </c:pt>
                <c:pt idx="787">
                  <c:v>-67.984181987281019</c:v>
                </c:pt>
                <c:pt idx="788">
                  <c:v>-67.757203835952666</c:v>
                </c:pt>
                <c:pt idx="789">
                  <c:v>-67.531459540723702</c:v>
                </c:pt>
                <c:pt idx="790">
                  <c:v>-67.306940059869561</c:v>
                </c:pt>
                <c:pt idx="791">
                  <c:v>-67.083636434912961</c:v>
                </c:pt>
                <c:pt idx="792">
                  <c:v>-66.861539789701325</c:v>
                </c:pt>
                <c:pt idx="793">
                  <c:v>-66.640641329495821</c:v>
                </c:pt>
                <c:pt idx="794">
                  <c:v>-66.420932340072625</c:v>
                </c:pt>
                <c:pt idx="795">
                  <c:v>-66.202404186835309</c:v>
                </c:pt>
                <c:pt idx="796">
                  <c:v>-65.985048313939217</c:v>
                </c:pt>
                <c:pt idx="797">
                  <c:v>-65.768856243426569</c:v>
                </c:pt>
                <c:pt idx="798">
                  <c:v>-65.553819574372881</c:v>
                </c:pt>
                <c:pt idx="799">
                  <c:v>-65.339929982044382</c:v>
                </c:pt>
                <c:pt idx="800">
                  <c:v>-65.1271792170661</c:v>
                </c:pt>
                <c:pt idx="801">
                  <c:v>-64.915559104600604</c:v>
                </c:pt>
                <c:pt idx="802">
                  <c:v>-62.832975463563685</c:v>
                </c:pt>
                <c:pt idx="803">
                  <c:v>-60.858206433037395</c:v>
                </c:pt>
                <c:pt idx="804">
                  <c:v>-58.983822464995683</c:v>
                </c:pt>
                <c:pt idx="805">
                  <c:v>-57.203028691499412</c:v>
                </c:pt>
                <c:pt idx="806">
                  <c:v>-55.50960052498705</c:v>
                </c:pt>
                <c:pt idx="807">
                  <c:v>-53.897826790677115</c:v>
                </c:pt>
                <c:pt idx="808">
                  <c:v>-52.362459397139297</c:v>
                </c:pt>
                <c:pt idx="809">
                  <c:v>-50.898668696685533</c:v>
                </c:pt>
                <c:pt idx="810">
                  <c:v>-49.502003809449249</c:v>
                </c:pt>
                <c:pt idx="811">
                  <c:v>-48.168357287940644</c:v>
                </c:pt>
                <c:pt idx="812">
                  <c:v>-46.893933585784374</c:v>
                </c:pt>
                <c:pt idx="813">
                  <c:v>-45.675220867972826</c:v>
                </c:pt>
                <c:pt idx="814">
                  <c:v>-44.508965762503308</c:v>
                </c:pt>
                <c:pt idx="815">
                  <c:v>-43.392150706528895</c:v>
                </c:pt>
                <c:pt idx="816">
                  <c:v>-42.321973585632925</c:v>
                </c:pt>
                <c:pt idx="817">
                  <c:v>-41.295829403770831</c:v>
                </c:pt>
                <c:pt idx="818">
                  <c:v>-40.311293754835091</c:v>
                </c:pt>
                <c:pt idx="819">
                  <c:v>-39.366107895538995</c:v>
                </c:pt>
                <c:pt idx="820">
                  <c:v>-38.458165244094779</c:v>
                </c:pt>
                <c:pt idx="821">
                  <c:v>-37.585499150572886</c:v>
                </c:pt>
                <c:pt idx="822">
                  <c:v>-36.746271803370618</c:v>
                </c:pt>
                <c:pt idx="823">
                  <c:v>-35.938764152308693</c:v>
                </c:pt>
                <c:pt idx="824">
                  <c:v>-35.161366742864899</c:v>
                </c:pt>
                <c:pt idx="825">
                  <c:v>-34.412571368243675</c:v>
                </c:pt>
                <c:pt idx="826">
                  <c:v>-33.690963456621816</c:v>
                </c:pt>
                <c:pt idx="827">
                  <c:v>-32.99521512021667</c:v>
                </c:pt>
                <c:pt idx="828">
                  <c:v>-32.324078800976636</c:v>
                </c:pt>
                <c:pt idx="829">
                  <c:v>-31.676381454851459</c:v>
                </c:pt>
                <c:pt idx="830">
                  <c:v>-31.051019222891291</c:v>
                </c:pt>
                <c:pt idx="831">
                  <c:v>-30.446952542965995</c:v>
                </c:pt>
                <c:pt idx="832">
                  <c:v>-29.863201660784398</c:v>
                </c:pt>
                <c:pt idx="833">
                  <c:v>-29.298842503212526</c:v>
                </c:pt>
                <c:pt idx="834">
                  <c:v>-28.753002880712565</c:v>
                </c:pt>
                <c:pt idx="835">
                  <c:v>-28.224858989111162</c:v>
                </c:pt>
                <c:pt idx="836">
                  <c:v>-27.713632183912672</c:v>
                </c:pt>
                <c:pt idx="837">
                  <c:v>-27.21858600304563</c:v>
                </c:pt>
                <c:pt idx="838">
                  <c:v>-26.739023416308747</c:v>
                </c:pt>
                <c:pt idx="839">
                  <c:v>-26.274284281903601</c:v>
                </c:pt>
                <c:pt idx="840">
                  <c:v>-25.823742992333102</c:v>
                </c:pt>
                <c:pt idx="841">
                  <c:v>-25.386806293636027</c:v>
                </c:pt>
                <c:pt idx="842">
                  <c:v>-24.962911263441136</c:v>
                </c:pt>
                <c:pt idx="843">
                  <c:v>-24.551523434679968</c:v>
                </c:pt>
                <c:pt idx="844">
                  <c:v>-24.152135053014</c:v>
                </c:pt>
                <c:pt idx="845">
                  <c:v>-23.764263457123494</c:v>
                </c:pt>
                <c:pt idx="846">
                  <c:v>-23.387449571988032</c:v>
                </c:pt>
                <c:pt idx="847">
                  <c:v>-23.0212565061723</c:v>
                </c:pt>
                <c:pt idx="848">
                  <c:v>-22.665268244927837</c:v>
                </c:pt>
                <c:pt idx="849">
                  <c:v>-22.319088431639731</c:v>
                </c:pt>
                <c:pt idx="850">
                  <c:v>-21.98233923079701</c:v>
                </c:pt>
                <c:pt idx="851">
                  <c:v>-21.654660266251614</c:v>
                </c:pt>
                <c:pt idx="852">
                  <c:v>-21.335707629062817</c:v>
                </c:pt>
                <c:pt idx="853">
                  <c:v>-21.025152949704299</c:v>
                </c:pt>
                <c:pt idx="854">
                  <c:v>-20.72268252984815</c:v>
                </c:pt>
                <c:pt idx="855">
                  <c:v>-20.427996529335715</c:v>
                </c:pt>
                <c:pt idx="856">
                  <c:v>-20.140808204305085</c:v>
                </c:pt>
                <c:pt idx="857">
                  <c:v>-19.860843192772599</c:v>
                </c:pt>
                <c:pt idx="858">
                  <c:v>-19.587838844263153</c:v>
                </c:pt>
                <c:pt idx="859">
                  <c:v>-19.321543590355979</c:v>
                </c:pt>
                <c:pt idx="860">
                  <c:v>-19.061716353259552</c:v>
                </c:pt>
                <c:pt idx="861">
                  <c:v>-18.808125989755595</c:v>
                </c:pt>
                <c:pt idx="862">
                  <c:v>-18.560550768058068</c:v>
                </c:pt>
                <c:pt idx="863">
                  <c:v>-18.318777875321913</c:v>
                </c:pt>
                <c:pt idx="864">
                  <c:v>-18.082602953708694</c:v>
                </c:pt>
                <c:pt idx="865">
                  <c:v>-17.85182966307443</c:v>
                </c:pt>
                <c:pt idx="866">
                  <c:v>-17.626269268489594</c:v>
                </c:pt>
                <c:pt idx="867">
                  <c:v>-17.405740250934258</c:v>
                </c:pt>
                <c:pt idx="868">
                  <c:v>-17.190067939633018</c:v>
                </c:pt>
                <c:pt idx="869">
                  <c:v>-16.97908416460664</c:v>
                </c:pt>
                <c:pt idx="870">
                  <c:v>-16.77262692812004</c:v>
                </c:pt>
                <c:pt idx="871">
                  <c:v>-16.570540093801128</c:v>
                </c:pt>
                <c:pt idx="872">
                  <c:v>-16.372673092292228</c:v>
                </c:pt>
                <c:pt idx="873">
                  <c:v>-16.178880642376132</c:v>
                </c:pt>
                <c:pt idx="874">
                  <c:v>-15.989022486593079</c:v>
                </c:pt>
                <c:pt idx="875">
                  <c:v>-15.802963140433246</c:v>
                </c:pt>
                <c:pt idx="876">
                  <c:v>-15.620571654252684</c:v>
                </c:pt>
                <c:pt idx="877">
                  <c:v>-15.441721387119047</c:v>
                </c:pt>
                <c:pt idx="878">
                  <c:v>-15.266289791847466</c:v>
                </c:pt>
                <c:pt idx="879">
                  <c:v>-15.094158210537174</c:v>
                </c:pt>
                <c:pt idx="880">
                  <c:v>-14.925211679965859</c:v>
                </c:pt>
                <c:pt idx="881">
                  <c:v>-14.75933874624182</c:v>
                </c:pt>
                <c:pt idx="882">
                  <c:v>-14.596431288154152</c:v>
                </c:pt>
                <c:pt idx="883">
                  <c:v>-14.4363843486984</c:v>
                </c:pt>
                <c:pt idx="884">
                  <c:v>-14.279095974289845</c:v>
                </c:pt>
                <c:pt idx="885">
                  <c:v>-14.12446706120901</c:v>
                </c:pt>
                <c:pt idx="886">
                  <c:v>-13.972401208854201</c:v>
                </c:pt>
                <c:pt idx="887">
                  <c:v>-13.82280457940419</c:v>
                </c:pt>
                <c:pt idx="888">
                  <c:v>-13.675585763520768</c:v>
                </c:pt>
                <c:pt idx="889">
                  <c:v>-13.530655651745692</c:v>
                </c:pt>
                <c:pt idx="890">
                  <c:v>-13.387927311270152</c:v>
                </c:pt>
                <c:pt idx="891">
                  <c:v>-13.247315867776939</c:v>
                </c:pt>
                <c:pt idx="892">
                  <c:v>-13.1087383920765</c:v>
                </c:pt>
                <c:pt idx="893">
                  <c:v>-12.972113791277886</c:v>
                </c:pt>
                <c:pt idx="894">
                  <c:v>-12.837362704254593</c:v>
                </c:pt>
                <c:pt idx="895">
                  <c:v>-12.704407401183312</c:v>
                </c:pt>
                <c:pt idx="896">
                  <c:v>-12.573171686951</c:v>
                </c:pt>
                <c:pt idx="897">
                  <c:v>-12.443580808242249</c:v>
                </c:pt>
                <c:pt idx="898">
                  <c:v>-12.315561364135249</c:v>
                </c:pt>
                <c:pt idx="899">
                  <c:v>-12.18904122005004</c:v>
                </c:pt>
                <c:pt idx="900">
                  <c:v>-12.063949424908284</c:v>
                </c:pt>
                <c:pt idx="901">
                  <c:v>-11.940216131378584</c:v>
                </c:pt>
                <c:pt idx="902">
                  <c:v>-11.817772519096172</c:v>
                </c:pt>
                <c:pt idx="903">
                  <c:v>-11.696550720760452</c:v>
                </c:pt>
                <c:pt idx="904">
                  <c:v>-11.57648375102832</c:v>
                </c:pt>
                <c:pt idx="905">
                  <c:v>-11.457505438135787</c:v>
                </c:pt>
                <c:pt idx="906">
                  <c:v>-11.339550358194959</c:v>
                </c:pt>
                <c:pt idx="907">
                  <c:v>-11.222553772128235</c:v>
                </c:pt>
                <c:pt idx="908">
                  <c:v>-11.106451565216375</c:v>
                </c:pt>
                <c:pt idx="909">
                  <c:v>-10.991180189252404</c:v>
                </c:pt>
                <c:pt idx="910">
                  <c:v>-10.876676607308688</c:v>
                </c:pt>
                <c:pt idx="911">
                  <c:v>-10.762878241140381</c:v>
                </c:pt>
                <c:pt idx="912">
                  <c:v>-10.649722921264797</c:v>
                </c:pt>
                <c:pt idx="913">
                  <c:v>-10.537148839772774</c:v>
                </c:pt>
                <c:pt idx="914">
                  <c:v>-10.425094505945536</c:v>
                </c:pt>
                <c:pt idx="915">
                  <c:v>-10.313498704768056</c:v>
                </c:pt>
                <c:pt idx="916">
                  <c:v>-10.202300458448386</c:v>
                </c:pt>
                <c:pt idx="917">
                  <c:v>-10.091438991071112</c:v>
                </c:pt>
                <c:pt idx="918">
                  <c:v>-9.9808536965324883</c:v>
                </c:pt>
                <c:pt idx="919">
                  <c:v>-9.8704841099248419</c:v>
                </c:pt>
                <c:pt idx="920">
                  <c:v>-9.7602698825580774</c:v>
                </c:pt>
                <c:pt idx="921">
                  <c:v>-9.6501507608272057</c:v>
                </c:pt>
                <c:pt idx="922">
                  <c:v>-9.5400665691559663</c:v>
                </c:pt>
                <c:pt idx="923">
                  <c:v>-9.4299571972683243</c:v>
                </c:pt>
                <c:pt idx="924">
                  <c:v>-9.319762592061327</c:v>
                </c:pt>
                <c:pt idx="925">
                  <c:v>-9.2094227543746889</c:v>
                </c:pt>
                <c:pt idx="926">
                  <c:v>-9.0988777409741637</c:v>
                </c:pt>
                <c:pt idx="927">
                  <c:v>-8.9880676720869737</c:v>
                </c:pt>
                <c:pt idx="928">
                  <c:v>-8.8769327448484443</c:v>
                </c:pt>
                <c:pt idx="929">
                  <c:v>-8.7654132530385098</c:v>
                </c:pt>
                <c:pt idx="930">
                  <c:v>-8.6534496135053889</c:v>
                </c:pt>
                <c:pt idx="931">
                  <c:v>-8.5409823996904048</c:v>
                </c:pt>
                <c:pt idx="932">
                  <c:v>-8.4279523826824487</c:v>
                </c:pt>
                <c:pt idx="933">
                  <c:v>-8.3143005802424721</c:v>
                </c:pt>
                <c:pt idx="934">
                  <c:v>-8.1999683142469539</c:v>
                </c:pt>
                <c:pt idx="935">
                  <c:v>-8.084897277003817</c:v>
                </c:pt>
                <c:pt idx="936">
                  <c:v>-7.9690296068941482</c:v>
                </c:pt>
                <c:pt idx="937">
                  <c:v>-7.8523079737875152</c:v>
                </c:pt>
                <c:pt idx="938">
                  <c:v>-7.7346756746666783</c:v>
                </c:pt>
                <c:pt idx="939">
                  <c:v>-7.6160767398783191</c:v>
                </c:pt>
                <c:pt idx="940">
                  <c:v>-7.4964560503990274</c:v>
                </c:pt>
                <c:pt idx="941">
                  <c:v>-7.3757594664690931</c:v>
                </c:pt>
                <c:pt idx="942">
                  <c:v>-7.2539339678999113</c:v>
                </c:pt>
                <c:pt idx="943">
                  <c:v>-7.1309278063025614</c:v>
                </c:pt>
                <c:pt idx="944">
                  <c:v>-7.0066906694148257</c:v>
                </c:pt>
                <c:pt idx="945">
                  <c:v>-6.8811738576201371</c:v>
                </c:pt>
                <c:pt idx="946">
                  <c:v>-6.7543304726542281</c:v>
                </c:pt>
                <c:pt idx="947">
                  <c:v>-6.6261156183824008</c:v>
                </c:pt>
                <c:pt idx="948">
                  <c:v>-6.4964866134020269</c:v>
                </c:pt>
                <c:pt idx="949">
                  <c:v>-6.3654032150805744</c:v>
                </c:pt>
                <c:pt idx="950">
                  <c:v>-6.2328278544789368</c:v>
                </c:pt>
                <c:pt idx="951">
                  <c:v>-6.0987258814333556</c:v>
                </c:pt>
                <c:pt idx="952">
                  <c:v>-5.963065818877193</c:v>
                </c:pt>
                <c:pt idx="953">
                  <c:v>-5.8258196252773349</c:v>
                </c:pt>
                <c:pt idx="954">
                  <c:v>-5.6869629638403039</c:v>
                </c:pt>
                <c:pt idx="955">
                  <c:v>-5.5464754769125637</c:v>
                </c:pt>
                <c:pt idx="956">
                  <c:v>-5.4043410637601168</c:v>
                </c:pt>
                <c:pt idx="957">
                  <c:v>-5.260548159668228</c:v>
                </c:pt>
                <c:pt idx="958">
                  <c:v>-5.1150900140561184</c:v>
                </c:pt>
                <c:pt idx="959">
                  <c:v>-4.9679649650589504</c:v>
                </c:pt>
                <c:pt idx="960">
                  <c:v>-4.8191767077952461</c:v>
                </c:pt>
                <c:pt idx="961">
                  <c:v>-4.668734553317984</c:v>
                </c:pt>
                <c:pt idx="962">
                  <c:v>-4.516653675048528</c:v>
                </c:pt>
                <c:pt idx="963">
                  <c:v>-4.3629553393208473</c:v>
                </c:pt>
                <c:pt idx="964">
                  <c:v>-4.2076671165267054</c:v>
                </c:pt>
                <c:pt idx="965">
                  <c:v>-4.05082306925752</c:v>
                </c:pt>
                <c:pt idx="966">
                  <c:v>-3.8924639137930441</c:v>
                </c:pt>
                <c:pt idx="967">
                  <c:v>-3.7326371512974936</c:v>
                </c:pt>
                <c:pt idx="968">
                  <c:v>-3.5713971651567542</c:v>
                </c:pt>
                <c:pt idx="969">
                  <c:v>-3.4088052810312335</c:v>
                </c:pt>
                <c:pt idx="970">
                  <c:v>-3.2449297864120847</c:v>
                </c:pt>
                <c:pt idx="971">
                  <c:v>-3.0798459067566859</c:v>
                </c:pt>
                <c:pt idx="972">
                  <c:v>-2.9136357356436005</c:v>
                </c:pt>
                <c:pt idx="973">
                  <c:v>-2.7463881168266733</c:v>
                </c:pt>
                <c:pt idx="974">
                  <c:v>-2.5781984765794697</c:v>
                </c:pt>
                <c:pt idx="975">
                  <c:v>-2.4091686052994068</c:v>
                </c:pt>
                <c:pt idx="976">
                  <c:v>-2.2394063879777786</c:v>
                </c:pt>
                <c:pt idx="977">
                  <c:v>-2.0690254838273705</c:v>
                </c:pt>
                <c:pt idx="978">
                  <c:v>-1.8981449560809414</c:v>
                </c:pt>
                <c:pt idx="979">
                  <c:v>-1.7268888537172495</c:v>
                </c:pt>
                <c:pt idx="980">
                  <c:v>-1.5553857476204422</c:v>
                </c:pt>
                <c:pt idx="981">
                  <c:v>-1.3837682244163674</c:v>
                </c:pt>
                <c:pt idx="982">
                  <c:v>-1.212172341937831</c:v>
                </c:pt>
                <c:pt idx="983">
                  <c:v>-1.0407370509320761</c:v>
                </c:pt>
                <c:pt idx="984">
                  <c:v>-0.86960358822052641</c:v>
                </c:pt>
                <c:pt idx="985">
                  <c:v>-0.69891484703683671</c:v>
                </c:pt>
                <c:pt idx="986">
                  <c:v>-0.52881473069031215</c:v>
                </c:pt>
                <c:pt idx="987">
                  <c:v>-0.35944749601575487</c:v>
                </c:pt>
                <c:pt idx="988">
                  <c:v>-0.19095709326872501</c:v>
                </c:pt>
                <c:pt idx="989">
                  <c:v>-2.3486509201212313E-2</c:v>
                </c:pt>
                <c:pt idx="990">
                  <c:v>0.14282287999555821</c:v>
                </c:pt>
                <c:pt idx="991">
                  <c:v>0.30783193936574782</c:v>
                </c:pt>
                <c:pt idx="992">
                  <c:v>0.47140438325507739</c:v>
                </c:pt>
                <c:pt idx="993">
                  <c:v>0.6334073549423318</c:v>
                </c:pt>
                <c:pt idx="994">
                  <c:v>0.79371197250859549</c:v>
                </c:pt>
                <c:pt idx="995">
                  <c:v>0.95219383620046116</c:v>
                </c:pt>
                <c:pt idx="996">
                  <c:v>1.1087334931967758</c:v>
                </c:pt>
                <c:pt idx="997">
                  <c:v>1.2632168563940751</c:v>
                </c:pt>
                <c:pt idx="998">
                  <c:v>1.4155355745657663</c:v>
                </c:pt>
                <c:pt idx="999">
                  <c:v>1.5655873520062416</c:v>
                </c:pt>
                <c:pt idx="1000">
                  <c:v>1.7132762165257482</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Calculs!$AH$4:$AH$1004</c:f>
              <c:numCache>
                <c:formatCode>0.00</c:formatCode>
                <c:ptCount val="1001"/>
                <c:pt idx="0">
                  <c:v>0</c:v>
                </c:pt>
                <c:pt idx="1">
                  <c:v>9.4757323558957598</c:v>
                </c:pt>
                <c:pt idx="2">
                  <c:v>21.903161778443089</c:v>
                </c:pt>
                <c:pt idx="3">
                  <c:v>36.513280850359244</c:v>
                </c:pt>
                <c:pt idx="4">
                  <c:v>51.134272107690215</c:v>
                </c:pt>
                <c:pt idx="5">
                  <c:v>60.134132243787292</c:v>
                </c:pt>
                <c:pt idx="6">
                  <c:v>63.506002202018678</c:v>
                </c:pt>
                <c:pt idx="7">
                  <c:v>66.881603630308021</c:v>
                </c:pt>
                <c:pt idx="8">
                  <c:v>70.2611120677184</c:v>
                </c:pt>
                <c:pt idx="9">
                  <c:v>72.111201828740164</c:v>
                </c:pt>
                <c:pt idx="10">
                  <c:v>72.42927177708502</c:v>
                </c:pt>
                <c:pt idx="11">
                  <c:v>72.747499172749045</c:v>
                </c:pt>
                <c:pt idx="12">
                  <c:v>73.065882239276945</c:v>
                </c:pt>
                <c:pt idx="13">
                  <c:v>73.384419178949756</c:v>
                </c:pt>
                <c:pt idx="14">
                  <c:v>73.703108172742489</c:v>
                </c:pt>
                <c:pt idx="15">
                  <c:v>74.021947380282214</c:v>
                </c:pt>
                <c:pt idx="16">
                  <c:v>74.340934939807184</c:v>
                </c:pt>
                <c:pt idx="17">
                  <c:v>74.660068968126467</c:v>
                </c:pt>
                <c:pt idx="18">
                  <c:v>74.979347560580635</c:v>
                </c:pt>
                <c:pt idx="19">
                  <c:v>75.298768791003013</c:v>
                </c:pt>
                <c:pt idx="20">
                  <c:v>75.618330711681878</c:v>
                </c:pt>
                <c:pt idx="21">
                  <c:v>75.830676428609664</c:v>
                </c:pt>
                <c:pt idx="22">
                  <c:v>75.881912445488965</c:v>
                </c:pt>
                <c:pt idx="23">
                  <c:v>75.932933259782672</c:v>
                </c:pt>
                <c:pt idx="24">
                  <c:v>75.98373800940071</c:v>
                </c:pt>
                <c:pt idx="25">
                  <c:v>76.034325834676324</c:v>
                </c:pt>
                <c:pt idx="26">
                  <c:v>76.084695878399458</c:v>
                </c:pt>
                <c:pt idx="27">
                  <c:v>76.134847285850029</c:v>
                </c:pt>
                <c:pt idx="28">
                  <c:v>76.184779204831187</c:v>
                </c:pt>
                <c:pt idx="29">
                  <c:v>76.234490785702675</c:v>
                </c:pt>
                <c:pt idx="30">
                  <c:v>76.283981181414035</c:v>
                </c:pt>
                <c:pt idx="31">
                  <c:v>76.333249547538003</c:v>
                </c:pt>
                <c:pt idx="32">
                  <c:v>76.382295042303681</c:v>
                </c:pt>
                <c:pt idx="33">
                  <c:v>76.431116826629932</c:v>
                </c:pt>
                <c:pt idx="34">
                  <c:v>76.479714064158586</c:v>
                </c:pt>
                <c:pt idx="35">
                  <c:v>76.528085921287726</c:v>
                </c:pt>
                <c:pt idx="36">
                  <c:v>76.576231567204928</c:v>
                </c:pt>
                <c:pt idx="37">
                  <c:v>76.624150173920512</c:v>
                </c:pt>
                <c:pt idx="38">
                  <c:v>76.671840916300795</c:v>
                </c:pt>
                <c:pt idx="39">
                  <c:v>76.71930297210119</c:v>
                </c:pt>
                <c:pt idx="40">
                  <c:v>76.766535521999529</c:v>
                </c:pt>
                <c:pt idx="41">
                  <c:v>76.813537557721887</c:v>
                </c:pt>
                <c:pt idx="42">
                  <c:v>76.860308042120266</c:v>
                </c:pt>
                <c:pt idx="43">
                  <c:v>76.906846139199203</c:v>
                </c:pt>
                <c:pt idx="44">
                  <c:v>76.953151016403979</c:v>
                </c:pt>
                <c:pt idx="45">
                  <c:v>76.999221844637191</c:v>
                </c:pt>
                <c:pt idx="46">
                  <c:v>77.068891650908967</c:v>
                </c:pt>
                <c:pt idx="47">
                  <c:v>77.144316113436318</c:v>
                </c:pt>
                <c:pt idx="48">
                  <c:v>77.219540220134519</c:v>
                </c:pt>
                <c:pt idx="49">
                  <c:v>77.294562878732805</c:v>
                </c:pt>
                <c:pt idx="50">
                  <c:v>77.369382998644994</c:v>
                </c:pt>
                <c:pt idx="51">
                  <c:v>77.443999490996291</c:v>
                </c:pt>
                <c:pt idx="52">
                  <c:v>77.518411268651008</c:v>
                </c:pt>
                <c:pt idx="53">
                  <c:v>77.592617246241005</c:v>
                </c:pt>
                <c:pt idx="54">
                  <c:v>77.666616340194849</c:v>
                </c:pt>
                <c:pt idx="55">
                  <c:v>77.740407468767472</c:v>
                </c:pt>
                <c:pt idx="56">
                  <c:v>77.813989552070595</c:v>
                </c:pt>
                <c:pt idx="57">
                  <c:v>77.887361512103652</c:v>
                </c:pt>
                <c:pt idx="58">
                  <c:v>77.960522272785198</c:v>
                </c:pt>
                <c:pt idx="59">
                  <c:v>78.033470759984908</c:v>
                </c:pt>
                <c:pt idx="60">
                  <c:v>78.106205901555839</c:v>
                </c:pt>
                <c:pt idx="61">
                  <c:v>78.178726627367368</c:v>
                </c:pt>
                <c:pt idx="62">
                  <c:v>78.251031869338405</c:v>
                </c:pt>
                <c:pt idx="63">
                  <c:v>78.323120561470844</c:v>
                </c:pt>
                <c:pt idx="64">
                  <c:v>78.394991639883756</c:v>
                </c:pt>
                <c:pt idx="65">
                  <c:v>78.46664404284752</c:v>
                </c:pt>
                <c:pt idx="66">
                  <c:v>78.538076710818501</c:v>
                </c:pt>
                <c:pt idx="67">
                  <c:v>78.609288586473923</c:v>
                </c:pt>
                <c:pt idx="68">
                  <c:v>78.680278614747081</c:v>
                </c:pt>
                <c:pt idx="69">
                  <c:v>79.121148071101828</c:v>
                </c:pt>
                <c:pt idx="70">
                  <c:v>79.720917777105555</c:v>
                </c:pt>
                <c:pt idx="71">
                  <c:v>80.321080642178174</c:v>
                </c:pt>
                <c:pt idx="72">
                  <c:v>80.921635637186625</c:v>
                </c:pt>
                <c:pt idx="73">
                  <c:v>81.522581668955269</c:v>
                </c:pt>
                <c:pt idx="74">
                  <c:v>82.123917580063761</c:v>
                </c:pt>
                <c:pt idx="75">
                  <c:v>82.72564214864498</c:v>
                </c:pt>
                <c:pt idx="76">
                  <c:v>83.327754088182786</c:v>
                </c:pt>
                <c:pt idx="77">
                  <c:v>83.247540713581174</c:v>
                </c:pt>
                <c:pt idx="78">
                  <c:v>82.874146029725239</c:v>
                </c:pt>
                <c:pt idx="79">
                  <c:v>82.499960162248826</c:v>
                </c:pt>
                <c:pt idx="80">
                  <c:v>82.124990025591472</c:v>
                </c:pt>
                <c:pt idx="81">
                  <c:v>81.749242545028721</c:v>
                </c:pt>
                <c:pt idx="82">
                  <c:v>81.372724656140406</c:v>
                </c:pt>
                <c:pt idx="83">
                  <c:v>80.995443304279831</c:v>
                </c:pt>
                <c:pt idx="84">
                  <c:v>80.617405444044053</c:v>
                </c:pt>
                <c:pt idx="85">
                  <c:v>80.238618038745074</c:v>
                </c:pt>
                <c:pt idx="86">
                  <c:v>79.951738005594123</c:v>
                </c:pt>
                <c:pt idx="87">
                  <c:v>80.035003433145789</c:v>
                </c:pt>
                <c:pt idx="88">
                  <c:v>80.118044470319603</c:v>
                </c:pt>
                <c:pt idx="89">
                  <c:v>80.200859958612511</c:v>
                </c:pt>
                <c:pt idx="90">
                  <c:v>80.283448741545044</c:v>
                </c:pt>
                <c:pt idx="91">
                  <c:v>80.365809664703718</c:v>
                </c:pt>
                <c:pt idx="92">
                  <c:v>80.447941575783773</c:v>
                </c:pt>
                <c:pt idx="93">
                  <c:v>80.529843324631955</c:v>
                </c:pt>
                <c:pt idx="94">
                  <c:v>80.611513763289395</c:v>
                </c:pt>
                <c:pt idx="95">
                  <c:v>80.69295174603468</c:v>
                </c:pt>
                <c:pt idx="96">
                  <c:v>80.774156129427041</c:v>
                </c:pt>
                <c:pt idx="97">
                  <c:v>80.855125772349552</c:v>
                </c:pt>
                <c:pt idx="98">
                  <c:v>80.935859536052618</c:v>
                </c:pt>
                <c:pt idx="99">
                  <c:v>81.016356284197443</c:v>
                </c:pt>
                <c:pt idx="100">
                  <c:v>81.096614882899587</c:v>
                </c:pt>
                <c:pt idx="101">
                  <c:v>81.176634200772753</c:v>
                </c:pt>
                <c:pt idx="102">
                  <c:v>81.256413108972524</c:v>
                </c:pt>
                <c:pt idx="103">
                  <c:v>81.335950481240275</c:v>
                </c:pt>
                <c:pt idx="104">
                  <c:v>81.415245193947143</c:v>
                </c:pt>
                <c:pt idx="105">
                  <c:v>81.49429612613811</c:v>
                </c:pt>
                <c:pt idx="106">
                  <c:v>81.573102159576109</c:v>
                </c:pt>
                <c:pt idx="107">
                  <c:v>81.651662178786296</c:v>
                </c:pt>
                <c:pt idx="108">
                  <c:v>81.729975071100256</c:v>
                </c:pt>
                <c:pt idx="109">
                  <c:v>81.808039726700429</c:v>
                </c:pt>
                <c:pt idx="110">
                  <c:v>81.885855038664516</c:v>
                </c:pt>
                <c:pt idx="111">
                  <c:v>81.963419903009935</c:v>
                </c:pt>
                <c:pt idx="112">
                  <c:v>82.040733218738382</c:v>
                </c:pt>
                <c:pt idx="113">
                  <c:v>82.117793887880438</c:v>
                </c:pt>
                <c:pt idx="114">
                  <c:v>82.19460081554017</c:v>
                </c:pt>
                <c:pt idx="115">
                  <c:v>82.271152909939858</c:v>
                </c:pt>
                <c:pt idx="116">
                  <c:v>82.347449082464721</c:v>
                </c:pt>
                <c:pt idx="117">
                  <c:v>82.423488247707667</c:v>
                </c:pt>
                <c:pt idx="118">
                  <c:v>82.499269323514142</c:v>
                </c:pt>
                <c:pt idx="119">
                  <c:v>82.574791231026893</c:v>
                </c:pt>
                <c:pt idx="120">
                  <c:v>82.650052894730962</c:v>
                </c:pt>
                <c:pt idx="121">
                  <c:v>82.725053242498475</c:v>
                </c:pt>
                <c:pt idx="122">
                  <c:v>82.799791205633568</c:v>
                </c:pt>
                <c:pt idx="123">
                  <c:v>82.8742657189174</c:v>
                </c:pt>
                <c:pt idx="124">
                  <c:v>82.948475720653036</c:v>
                </c:pt>
                <c:pt idx="125">
                  <c:v>83.022420152710396</c:v>
                </c:pt>
                <c:pt idx="126">
                  <c:v>83.096097960571313</c:v>
                </c:pt>
                <c:pt idx="127">
                  <c:v>83.169508093374446</c:v>
                </c:pt>
                <c:pt idx="128">
                  <c:v>83.242649503960266</c:v>
                </c:pt>
                <c:pt idx="129">
                  <c:v>83.315521148916048</c:v>
                </c:pt>
                <c:pt idx="130">
                  <c:v>83.388121988620838</c:v>
                </c:pt>
                <c:pt idx="131">
                  <c:v>83.460450987290429</c:v>
                </c:pt>
                <c:pt idx="132">
                  <c:v>83.532507113022305</c:v>
                </c:pt>
                <c:pt idx="133">
                  <c:v>83.604289337840598</c:v>
                </c:pt>
                <c:pt idx="134">
                  <c:v>83.675796637740973</c:v>
                </c:pt>
                <c:pt idx="135">
                  <c:v>83.747027992735568</c:v>
                </c:pt>
                <c:pt idx="136">
                  <c:v>83.817982386897853</c:v>
                </c:pt>
                <c:pt idx="137">
                  <c:v>83.888658808407499</c:v>
                </c:pt>
                <c:pt idx="138">
                  <c:v>83.959056249595164</c:v>
                </c:pt>
                <c:pt idx="139">
                  <c:v>84.02917370698728</c:v>
                </c:pt>
                <c:pt idx="140">
                  <c:v>84.099010181350863</c:v>
                </c:pt>
                <c:pt idx="141">
                  <c:v>84.168564677738075</c:v>
                </c:pt>
                <c:pt idx="142">
                  <c:v>84.237836205531067</c:v>
                </c:pt>
                <c:pt idx="143">
                  <c:v>84.306823778486446</c:v>
                </c:pt>
                <c:pt idx="144">
                  <c:v>84.375526414779898</c:v>
                </c:pt>
                <c:pt idx="145">
                  <c:v>84.443943137050695</c:v>
                </c:pt>
                <c:pt idx="146">
                  <c:v>84.512072972446163</c:v>
                </c:pt>
                <c:pt idx="147">
                  <c:v>84.579914952665987</c:v>
                </c:pt>
                <c:pt idx="148">
                  <c:v>84.647468114006656</c:v>
                </c:pt>
                <c:pt idx="149">
                  <c:v>84.714731497405651</c:v>
                </c:pt>
                <c:pt idx="150">
                  <c:v>84.78170414848563</c:v>
                </c:pt>
                <c:pt idx="151">
                  <c:v>84.848385117598596</c:v>
                </c:pt>
                <c:pt idx="152">
                  <c:v>84.914773459869878</c:v>
                </c:pt>
                <c:pt idx="153">
                  <c:v>84.980868235242085</c:v>
                </c:pt>
                <c:pt idx="154">
                  <c:v>85.046668508519062</c:v>
                </c:pt>
                <c:pt idx="155">
                  <c:v>85.112173349409616</c:v>
                </c:pt>
                <c:pt idx="156">
                  <c:v>85.177381832571172</c:v>
                </c:pt>
                <c:pt idx="157">
                  <c:v>85.242293037653496</c:v>
                </c:pt>
                <c:pt idx="158">
                  <c:v>85.306906049342118</c:v>
                </c:pt>
                <c:pt idx="159">
                  <c:v>85.371219957401749</c:v>
                </c:pt>
                <c:pt idx="160">
                  <c:v>85.435233856719591</c:v>
                </c:pt>
                <c:pt idx="161">
                  <c:v>85.49894684734862</c:v>
                </c:pt>
                <c:pt idx="162">
                  <c:v>85.562358034550499</c:v>
                </c:pt>
                <c:pt idx="163">
                  <c:v>85.625466528838757</c:v>
                </c:pt>
                <c:pt idx="164">
                  <c:v>85.688271446021517</c:v>
                </c:pt>
                <c:pt idx="165">
                  <c:v>85.7507719072443</c:v>
                </c:pt>
                <c:pt idx="166">
                  <c:v>85.8129670390326</c:v>
                </c:pt>
                <c:pt idx="167">
                  <c:v>85.874855973334462</c:v>
                </c:pt>
                <c:pt idx="168">
                  <c:v>85.936437847562757</c:v>
                </c:pt>
                <c:pt idx="169">
                  <c:v>85.997711804637518</c:v>
                </c:pt>
                <c:pt idx="170">
                  <c:v>86.058676993027944</c:v>
                </c:pt>
                <c:pt idx="171">
                  <c:v>86.119332566794441</c:v>
                </c:pt>
                <c:pt idx="172">
                  <c:v>86.179677685630381</c:v>
                </c:pt>
                <c:pt idx="173">
                  <c:v>86.239711514903831</c:v>
                </c:pt>
                <c:pt idx="174">
                  <c:v>86.299433225699076</c:v>
                </c:pt>
                <c:pt idx="175">
                  <c:v>86.358841994857983</c:v>
                </c:pt>
                <c:pt idx="176">
                  <c:v>86.41793700502123</c:v>
                </c:pt>
                <c:pt idx="177">
                  <c:v>86.476717444669347</c:v>
                </c:pt>
                <c:pt idx="178">
                  <c:v>86.535182508163729</c:v>
                </c:pt>
                <c:pt idx="179">
                  <c:v>86.593331395787231</c:v>
                </c:pt>
                <c:pt idx="180">
                  <c:v>86.651163313784892</c:v>
                </c:pt>
                <c:pt idx="181">
                  <c:v>86.708677474404212</c:v>
                </c:pt>
                <c:pt idx="182">
                  <c:v>86.765873095935518</c:v>
                </c:pt>
                <c:pt idx="183">
                  <c:v>86.822749402751896</c:v>
                </c:pt>
                <c:pt idx="184">
                  <c:v>86.879305625349161</c:v>
                </c:pt>
                <c:pt idx="185">
                  <c:v>86.935541000385527</c:v>
                </c:pt>
                <c:pt idx="186">
                  <c:v>86.991454770721134</c:v>
                </c:pt>
                <c:pt idx="187">
                  <c:v>87.047046185457333</c:v>
                </c:pt>
                <c:pt idx="188">
                  <c:v>87.102314499975861</c:v>
                </c:pt>
                <c:pt idx="189">
                  <c:v>87.157258975977783</c:v>
                </c:pt>
                <c:pt idx="190">
                  <c:v>87.211878881522196</c:v>
                </c:pt>
                <c:pt idx="191">
                  <c:v>87.266173491064805</c:v>
                </c:pt>
                <c:pt idx="192">
                  <c:v>87.320142085496229</c:v>
                </c:pt>
                <c:pt idx="193">
                  <c:v>87.373783952180176</c:v>
                </c:pt>
                <c:pt idx="194">
                  <c:v>87.427098384991268</c:v>
                </c:pt>
                <c:pt idx="195">
                  <c:v>87.480084684352931</c:v>
                </c:pt>
                <c:pt idx="196">
                  <c:v>87.53274215727464</c:v>
                </c:pt>
                <c:pt idx="197">
                  <c:v>87.585070117389435</c:v>
                </c:pt>
                <c:pt idx="198">
                  <c:v>87.637067884990785</c:v>
                </c:pt>
                <c:pt idx="199">
                  <c:v>87.688734787069521</c:v>
                </c:pt>
                <c:pt idx="200">
                  <c:v>87.740070157350402</c:v>
                </c:pt>
                <c:pt idx="201">
                  <c:v>87.791073336328509</c:v>
                </c:pt>
                <c:pt idx="202">
                  <c:v>87.841743671305309</c:v>
                </c:pt>
                <c:pt idx="203">
                  <c:v>87.892080516424642</c:v>
                </c:pt>
                <c:pt idx="204">
                  <c:v>87.942083232708299</c:v>
                </c:pt>
                <c:pt idx="205">
                  <c:v>87.991751188091499</c:v>
                </c:pt>
                <c:pt idx="206">
                  <c:v>88.04108375745804</c:v>
                </c:pt>
                <c:pt idx="207">
                  <c:v>88.090080322675192</c:v>
                </c:pt>
                <c:pt idx="208">
                  <c:v>88.138740272628453</c:v>
                </c:pt>
                <c:pt idx="209">
                  <c:v>88.18706300325583</c:v>
                </c:pt>
                <c:pt idx="210">
                  <c:v>88.235047917582122</c:v>
                </c:pt>
                <c:pt idx="211">
                  <c:v>88.282694425752823</c:v>
                </c:pt>
                <c:pt idx="212">
                  <c:v>88.330001945067622</c:v>
                </c:pt>
                <c:pt idx="213">
                  <c:v>88.376969900013989</c:v>
                </c:pt>
                <c:pt idx="214">
                  <c:v>88.423597722300045</c:v>
                </c:pt>
                <c:pt idx="215">
                  <c:v>88.469884850887638</c:v>
                </c:pt>
                <c:pt idx="216">
                  <c:v>88.515830732024668</c:v>
                </c:pt>
                <c:pt idx="217">
                  <c:v>88.561434819277622</c:v>
                </c:pt>
                <c:pt idx="218">
                  <c:v>88.606696573563397</c:v>
                </c:pt>
                <c:pt idx="219">
                  <c:v>88.651615463181002</c:v>
                </c:pt>
                <c:pt idx="220">
                  <c:v>88.696190963843236</c:v>
                </c:pt>
                <c:pt idx="221">
                  <c:v>88.740422558707607</c:v>
                </c:pt>
                <c:pt idx="222">
                  <c:v>88.784309738407316</c:v>
                </c:pt>
                <c:pt idx="223">
                  <c:v>88.827852001081794</c:v>
                </c:pt>
                <c:pt idx="224">
                  <c:v>88.871048852406943</c:v>
                </c:pt>
                <c:pt idx="225">
                  <c:v>88.913899805625235</c:v>
                </c:pt>
                <c:pt idx="226">
                  <c:v>88.956404381575311</c:v>
                </c:pt>
                <c:pt idx="227">
                  <c:v>88.998562108721373</c:v>
                </c:pt>
                <c:pt idx="228">
                  <c:v>89.04037252318227</c:v>
                </c:pt>
                <c:pt idx="229">
                  <c:v>89.081835168760264</c:v>
                </c:pt>
                <c:pt idx="230">
                  <c:v>89.122949596969491</c:v>
                </c:pt>
                <c:pt idx="231">
                  <c:v>89.163715367064114</c:v>
                </c:pt>
                <c:pt idx="232">
                  <c:v>89.204132046066206</c:v>
                </c:pt>
                <c:pt idx="233">
                  <c:v>89.244199208793148</c:v>
                </c:pt>
                <c:pt idx="234">
                  <c:v>89.283916437884884</c:v>
                </c:pt>
                <c:pt idx="235">
                  <c:v>89.323283323830907</c:v>
                </c:pt>
                <c:pt idx="236">
                  <c:v>89.362299464996596</c:v>
                </c:pt>
                <c:pt idx="237">
                  <c:v>89.400964467649672</c:v>
                </c:pt>
                <c:pt idx="238">
                  <c:v>89.439277945985879</c:v>
                </c:pt>
                <c:pt idx="239">
                  <c:v>89.47723952215479</c:v>
                </c:pt>
                <c:pt idx="240">
                  <c:v>89.51484882628472</c:v>
                </c:pt>
                <c:pt idx="241">
                  <c:v>89.552105496507934</c:v>
                </c:pt>
                <c:pt idx="242">
                  <c:v>89.589009178985094</c:v>
                </c:pt>
                <c:pt idx="243">
                  <c:v>89.62555952792944</c:v>
                </c:pt>
                <c:pt idx="244">
                  <c:v>90.046945488873845</c:v>
                </c:pt>
                <c:pt idx="245">
                  <c:v>90.468196962257977</c:v>
                </c:pt>
                <c:pt idx="246">
                  <c:v>90.889311212493851</c:v>
                </c:pt>
                <c:pt idx="247">
                  <c:v>91.310285475311062</c:v>
                </c:pt>
                <c:pt idx="248">
                  <c:v>91.731116957844677</c:v>
                </c:pt>
                <c:pt idx="249">
                  <c:v>92.151802838724606</c:v>
                </c:pt>
                <c:pt idx="250">
                  <c:v>92.572340268167125</c:v>
                </c:pt>
                <c:pt idx="251">
                  <c:v>92.992726368067778</c:v>
                </c:pt>
                <c:pt idx="252">
                  <c:v>93.412958232096159</c:v>
                </c:pt>
                <c:pt idx="253">
                  <c:v>93.619839633858561</c:v>
                </c:pt>
                <c:pt idx="254">
                  <c:v>93.613105362200642</c:v>
                </c:pt>
                <c:pt idx="255">
                  <c:v>93.605955920834077</c:v>
                </c:pt>
                <c:pt idx="256">
                  <c:v>93.598391621482762</c:v>
                </c:pt>
                <c:pt idx="257">
                  <c:v>93.590412786602329</c:v>
                </c:pt>
                <c:pt idx="258">
                  <c:v>93.582019749372137</c:v>
                </c:pt>
                <c:pt idx="259">
                  <c:v>93.573212853687266</c:v>
                </c:pt>
                <c:pt idx="260">
                  <c:v>93.563992454149457</c:v>
                </c:pt>
                <c:pt idx="261">
                  <c:v>93.55435891605795</c:v>
                </c:pt>
                <c:pt idx="262">
                  <c:v>93.544312615399278</c:v>
                </c:pt>
                <c:pt idx="263">
                  <c:v>93.533853938836984</c:v>
                </c:pt>
                <c:pt idx="264">
                  <c:v>93.522983283700299</c:v>
                </c:pt>
                <c:pt idx="265">
                  <c:v>93.511701057972786</c:v>
                </c:pt>
                <c:pt idx="266">
                  <c:v>93.500007680279907</c:v>
                </c:pt>
                <c:pt idx="267">
                  <c:v>93.487903579876402</c:v>
                </c:pt>
                <c:pt idx="268">
                  <c:v>93.475389196632932</c:v>
                </c:pt>
                <c:pt idx="269">
                  <c:v>93.462464981022251</c:v>
                </c:pt>
                <c:pt idx="270">
                  <c:v>93.449131394104697</c:v>
                </c:pt>
                <c:pt idx="271">
                  <c:v>93.435388907513314</c:v>
                </c:pt>
                <c:pt idx="272">
                  <c:v>93.421238003438276</c:v>
                </c:pt>
                <c:pt idx="273">
                  <c:v>93.406679174610815</c:v>
                </c:pt>
                <c:pt idx="274">
                  <c:v>93.391712924286537</c:v>
                </c:pt>
                <c:pt idx="275">
                  <c:v>93.376339766228398</c:v>
                </c:pt>
                <c:pt idx="276">
                  <c:v>93.360560224688697</c:v>
                </c:pt>
                <c:pt idx="277">
                  <c:v>93.333976211547238</c:v>
                </c:pt>
                <c:pt idx="278">
                  <c:v>93.29137405721815</c:v>
                </c:pt>
                <c:pt idx="279">
                  <c:v>93.248355347642018</c:v>
                </c:pt>
                <c:pt idx="280">
                  <c:v>93.204921067775288</c:v>
                </c:pt>
                <c:pt idx="281">
                  <c:v>93.161072213150078</c:v>
                </c:pt>
                <c:pt idx="282">
                  <c:v>93.116809789830057</c:v>
                </c:pt>
                <c:pt idx="283">
                  <c:v>93.07213481436554</c:v>
                </c:pt>
                <c:pt idx="284">
                  <c:v>93.027048313748082</c:v>
                </c:pt>
                <c:pt idx="285">
                  <c:v>92.981551325364507</c:v>
                </c:pt>
                <c:pt idx="286">
                  <c:v>92.935644896950521</c:v>
                </c:pt>
                <c:pt idx="287">
                  <c:v>92.889330086543637</c:v>
                </c:pt>
                <c:pt idx="288">
                  <c:v>92.842607962435622</c:v>
                </c:pt>
                <c:pt idx="289">
                  <c:v>92.795479603124491</c:v>
                </c:pt>
                <c:pt idx="290">
                  <c:v>92.747946097265867</c:v>
                </c:pt>
                <c:pt idx="291">
                  <c:v>92.700008543623866</c:v>
                </c:pt>
                <c:pt idx="292">
                  <c:v>92.651668051021531</c:v>
                </c:pt>
                <c:pt idx="293">
                  <c:v>92.602925738290651</c:v>
                </c:pt>
                <c:pt idx="294">
                  <c:v>92.553782734221144</c:v>
                </c:pt>
                <c:pt idx="295">
                  <c:v>92.504240177509942</c:v>
                </c:pt>
                <c:pt idx="296">
                  <c:v>92.454299216709259</c:v>
                </c:pt>
                <c:pt idx="297">
                  <c:v>92.40396101017464</c:v>
                </c:pt>
                <c:pt idx="298">
                  <c:v>92.353226726012167</c:v>
                </c:pt>
                <c:pt idx="299">
                  <c:v>92.302097542025436</c:v>
                </c:pt>
                <c:pt idx="300">
                  <c:v>92.250574645661999</c:v>
                </c:pt>
                <c:pt idx="301">
                  <c:v>92.19865923395929</c:v>
                </c:pt>
                <c:pt idx="302">
                  <c:v>92.146352513490086</c:v>
                </c:pt>
                <c:pt idx="303">
                  <c:v>92.093655700307522</c:v>
                </c:pt>
                <c:pt idx="304">
                  <c:v>92.040570019889657</c:v>
                </c:pt>
                <c:pt idx="305">
                  <c:v>91.987096707083538</c:v>
                </c:pt>
                <c:pt idx="306">
                  <c:v>91.933237006048884</c:v>
                </c:pt>
                <c:pt idx="307">
                  <c:v>91.878992170201215</c:v>
                </c:pt>
                <c:pt idx="308">
                  <c:v>91.824363462154636</c:v>
                </c:pt>
                <c:pt idx="309">
                  <c:v>91.769352153664215</c:v>
                </c:pt>
                <c:pt idx="310">
                  <c:v>91.713959525567702</c:v>
                </c:pt>
                <c:pt idx="311">
                  <c:v>91.658186867727139</c:v>
                </c:pt>
                <c:pt idx="312">
                  <c:v>91.60203547896981</c:v>
                </c:pt>
                <c:pt idx="313">
                  <c:v>91.545506667028874</c:v>
                </c:pt>
                <c:pt idx="314">
                  <c:v>91.488601748483575</c:v>
                </c:pt>
                <c:pt idx="315">
                  <c:v>91.431322048698945</c:v>
                </c:pt>
                <c:pt idx="316">
                  <c:v>91.373668901765356</c:v>
                </c:pt>
                <c:pt idx="317">
                  <c:v>91.315643650437295</c:v>
                </c:pt>
                <c:pt idx="318">
                  <c:v>91.257247646072216</c:v>
                </c:pt>
                <c:pt idx="319">
                  <c:v>91.198482248568425</c:v>
                </c:pt>
                <c:pt idx="320">
                  <c:v>91.139348826303262</c:v>
                </c:pt>
                <c:pt idx="321">
                  <c:v>91.079848756070277</c:v>
                </c:pt>
                <c:pt idx="322">
                  <c:v>91.019983423016356</c:v>
                </c:pt>
                <c:pt idx="323">
                  <c:v>90.959754220578617</c:v>
                </c:pt>
                <c:pt idx="324">
                  <c:v>90.899162550420456</c:v>
                </c:pt>
                <c:pt idx="325">
                  <c:v>90.838209822367773</c:v>
                </c:pt>
                <c:pt idx="326">
                  <c:v>90.776897454344493</c:v>
                </c:pt>
                <c:pt idx="327">
                  <c:v>90.715226872307909</c:v>
                </c:pt>
                <c:pt idx="328">
                  <c:v>90.653199510183583</c:v>
                </c:pt>
                <c:pt idx="329">
                  <c:v>90.590816809800046</c:v>
                </c:pt>
                <c:pt idx="330">
                  <c:v>90.528080220822929</c:v>
                </c:pt>
                <c:pt idx="331">
                  <c:v>90.464991200689113</c:v>
                </c:pt>
                <c:pt idx="332">
                  <c:v>90.401551214540234</c:v>
                </c:pt>
                <c:pt idx="333">
                  <c:v>90.337761735156121</c:v>
                </c:pt>
                <c:pt idx="334">
                  <c:v>90.273624242887664</c:v>
                </c:pt>
                <c:pt idx="335">
                  <c:v>90.20914022558965</c:v>
                </c:pt>
                <c:pt idx="336">
                  <c:v>90.14431117855321</c:v>
                </c:pt>
                <c:pt idx="337">
                  <c:v>90.079138604437816</c:v>
                </c:pt>
                <c:pt idx="338">
                  <c:v>90.013624013203227</c:v>
                </c:pt>
                <c:pt idx="339">
                  <c:v>89.947768922041007</c:v>
                </c:pt>
                <c:pt idx="340">
                  <c:v>89.881574855305857</c:v>
                </c:pt>
                <c:pt idx="341">
                  <c:v>89.815043344446565</c:v>
                </c:pt>
                <c:pt idx="342">
                  <c:v>89.748175927936813</c:v>
                </c:pt>
                <c:pt idx="343">
                  <c:v>89.680974151205646</c:v>
                </c:pt>
                <c:pt idx="344">
                  <c:v>89.622250439006933</c:v>
                </c:pt>
                <c:pt idx="345">
                  <c:v>89.642548009724138</c:v>
                </c:pt>
                <c:pt idx="346">
                  <c:v>89.662522486771692</c:v>
                </c:pt>
                <c:pt idx="347">
                  <c:v>89.682174139064173</c:v>
                </c:pt>
                <c:pt idx="348">
                  <c:v>89.701503243286652</c:v>
                </c:pt>
                <c:pt idx="349">
                  <c:v>89.720510083890787</c:v>
                </c:pt>
                <c:pt idx="350">
                  <c:v>89.739194953090589</c:v>
                </c:pt>
                <c:pt idx="351">
                  <c:v>89.75755815085779</c:v>
                </c:pt>
                <c:pt idx="352">
                  <c:v>89.775599984916866</c:v>
                </c:pt>
                <c:pt idx="353">
                  <c:v>89.793320770739754</c:v>
                </c:pt>
                <c:pt idx="354">
                  <c:v>89.810720831540138</c:v>
                </c:pt>
                <c:pt idx="355">
                  <c:v>89.827800498267592</c:v>
                </c:pt>
                <c:pt idx="356">
                  <c:v>89.844560109601019</c:v>
                </c:pt>
                <c:pt idx="357">
                  <c:v>89.861000011942195</c:v>
                </c:pt>
                <c:pt idx="358">
                  <c:v>89.87712055940861</c:v>
                </c:pt>
                <c:pt idx="359">
                  <c:v>89.892922113826103</c:v>
                </c:pt>
                <c:pt idx="360">
                  <c:v>89.908405044721249</c:v>
                </c:pt>
                <c:pt idx="361">
                  <c:v>89.923569729313158</c:v>
                </c:pt>
                <c:pt idx="362">
                  <c:v>89.938416552505203</c:v>
                </c:pt>
                <c:pt idx="363">
                  <c:v>89.952945906876252</c:v>
                </c:pt>
                <c:pt idx="364">
                  <c:v>89.967158192671505</c:v>
                </c:pt>
                <c:pt idx="365">
                  <c:v>89.981053817793253</c:v>
                </c:pt>
                <c:pt idx="366">
                  <c:v>89.994633197790975</c:v>
                </c:pt>
                <c:pt idx="367">
                  <c:v>90.007896755851306</c:v>
                </c:pt>
                <c:pt idx="368">
                  <c:v>90.020844922787646</c:v>
                </c:pt>
                <c:pt idx="369">
                  <c:v>90.033478137029249</c:v>
                </c:pt>
                <c:pt idx="370">
                  <c:v>90.045796844610337</c:v>
                </c:pt>
                <c:pt idx="371">
                  <c:v>90.057801499158515</c:v>
                </c:pt>
                <c:pt idx="372">
                  <c:v>90.069492561883038</c:v>
                </c:pt>
                <c:pt idx="373">
                  <c:v>90.023028196015659</c:v>
                </c:pt>
                <c:pt idx="374">
                  <c:v>89.976253678552695</c:v>
                </c:pt>
                <c:pt idx="375">
                  <c:v>89.929170326062405</c:v>
                </c:pt>
                <c:pt idx="376">
                  <c:v>89.881779461631211</c:v>
                </c:pt>
                <c:pt idx="377">
                  <c:v>89.834082414808208</c:v>
                </c:pt>
                <c:pt idx="378">
                  <c:v>89.786080521549337</c:v>
                </c:pt>
                <c:pt idx="379">
                  <c:v>89.73777512416126</c:v>
                </c:pt>
                <c:pt idx="380">
                  <c:v>89.689167571245264</c:v>
                </c:pt>
                <c:pt idx="381">
                  <c:v>89.640259217640434</c:v>
                </c:pt>
                <c:pt idx="382">
                  <c:v>89.591051424367095</c:v>
                </c:pt>
                <c:pt idx="383">
                  <c:v>89.541545558569865</c:v>
                </c:pt>
                <c:pt idx="384">
                  <c:v>89.491742993460448</c:v>
                </c:pt>
                <c:pt idx="385">
                  <c:v>89.441645108260246</c:v>
                </c:pt>
                <c:pt idx="386">
                  <c:v>89.391253288142849</c:v>
                </c:pt>
                <c:pt idx="387">
                  <c:v>89.340568924176239</c:v>
                </c:pt>
                <c:pt idx="388">
                  <c:v>89.289593413264811</c:v>
                </c:pt>
                <c:pt idx="389">
                  <c:v>89.238328158091306</c:v>
                </c:pt>
                <c:pt idx="390">
                  <c:v>89.186774567058464</c:v>
                </c:pt>
                <c:pt idx="391">
                  <c:v>89.134934054230456</c:v>
                </c:pt>
                <c:pt idx="392">
                  <c:v>89.082808039274255</c:v>
                </c:pt>
                <c:pt idx="393">
                  <c:v>89.0303979474009</c:v>
                </c:pt>
                <c:pt idx="394">
                  <c:v>88.977705209306293</c:v>
                </c:pt>
                <c:pt idx="395">
                  <c:v>88.9247312611122</c:v>
                </c:pt>
                <c:pt idx="396">
                  <c:v>88.871477544306771</c:v>
                </c:pt>
                <c:pt idx="397">
                  <c:v>88.817945505685174</c:v>
                </c:pt>
                <c:pt idx="398">
                  <c:v>88.764136597290047</c:v>
                </c:pt>
                <c:pt idx="399">
                  <c:v>88.710052276351547</c:v>
                </c:pt>
                <c:pt idx="400">
                  <c:v>88.655694005227559</c:v>
                </c:pt>
                <c:pt idx="401">
                  <c:v>88.601063251343618</c:v>
                </c:pt>
                <c:pt idx="402">
                  <c:v>88.546161487132807</c:v>
                </c:pt>
                <c:pt idx="403">
                  <c:v>88.490990189975435</c:v>
                </c:pt>
                <c:pt idx="404">
                  <c:v>88.435550842138525</c:v>
                </c:pt>
                <c:pt idx="405">
                  <c:v>88.379844930715478</c:v>
                </c:pt>
                <c:pt idx="406">
                  <c:v>88.32387394756536</c:v>
                </c:pt>
                <c:pt idx="407">
                  <c:v>88.267639389252054</c:v>
                </c:pt>
                <c:pt idx="408">
                  <c:v>88.211142756983506</c:v>
                </c:pt>
                <c:pt idx="409">
                  <c:v>88.088840502614531</c:v>
                </c:pt>
                <c:pt idx="410">
                  <c:v>87.949896598853186</c:v>
                </c:pt>
                <c:pt idx="411">
                  <c:v>87.810716074029301</c:v>
                </c:pt>
                <c:pt idx="412">
                  <c:v>87.671301793597962</c:v>
                </c:pt>
                <c:pt idx="413">
                  <c:v>87.531656622235403</c:v>
                </c:pt>
                <c:pt idx="414">
                  <c:v>87.391783423712965</c:v>
                </c:pt>
                <c:pt idx="415">
                  <c:v>87.251685060771848</c:v>
                </c:pt>
                <c:pt idx="416">
                  <c:v>87.111364394998162</c:v>
                </c:pt>
                <c:pt idx="417">
                  <c:v>86.970824286698686</c:v>
                </c:pt>
                <c:pt idx="418">
                  <c:v>86.830067594777105</c:v>
                </c:pt>
                <c:pt idx="419">
                  <c:v>86.6890971766109</c:v>
                </c:pt>
                <c:pt idx="420">
                  <c:v>86.547915887928639</c:v>
                </c:pt>
                <c:pt idx="421">
                  <c:v>86.406526582688159</c:v>
                </c:pt>
                <c:pt idx="422">
                  <c:v>86.264932112954867</c:v>
                </c:pt>
                <c:pt idx="423">
                  <c:v>86.123135328781075</c:v>
                </c:pt>
                <c:pt idx="424">
                  <c:v>85.981139078085803</c:v>
                </c:pt>
                <c:pt idx="425">
                  <c:v>85.838946206535056</c:v>
                </c:pt>
                <c:pt idx="426">
                  <c:v>85.696559557422944</c:v>
                </c:pt>
                <c:pt idx="427">
                  <c:v>85.553981971553142</c:v>
                </c:pt>
                <c:pt idx="428">
                  <c:v>85.411216287121292</c:v>
                </c:pt>
                <c:pt idx="429">
                  <c:v>85.268265339597804</c:v>
                </c:pt>
                <c:pt idx="430">
                  <c:v>85.12513196161143</c:v>
                </c:pt>
                <c:pt idx="431">
                  <c:v>84.981818982833545</c:v>
                </c:pt>
                <c:pt idx="432">
                  <c:v>84.838329229862865</c:v>
                </c:pt>
                <c:pt idx="433">
                  <c:v>84.694665526110967</c:v>
                </c:pt>
                <c:pt idx="434">
                  <c:v>84.55083069168866</c:v>
                </c:pt>
                <c:pt idx="435">
                  <c:v>84.406827543292692</c:v>
                </c:pt>
                <c:pt idx="436">
                  <c:v>84.262658894093292</c:v>
                </c:pt>
                <c:pt idx="437">
                  <c:v>84.118327553622564</c:v>
                </c:pt>
                <c:pt idx="438">
                  <c:v>83.97383632766325</c:v>
                </c:pt>
                <c:pt idx="439">
                  <c:v>83.829188018138524</c:v>
                </c:pt>
                <c:pt idx="440">
                  <c:v>83.684385423002269</c:v>
                </c:pt>
                <c:pt idx="441">
                  <c:v>83.539431336130221</c:v>
                </c:pt>
                <c:pt idx="442">
                  <c:v>83.394328547211629</c:v>
                </c:pt>
                <c:pt idx="443">
                  <c:v>83.249079841641873</c:v>
                </c:pt>
                <c:pt idx="444">
                  <c:v>83.103688000415673</c:v>
                </c:pt>
                <c:pt idx="445">
                  <c:v>82.958155800021103</c:v>
                </c:pt>
                <c:pt idx="446">
                  <c:v>82.812486012334261</c:v>
                </c:pt>
                <c:pt idx="447">
                  <c:v>82.666681404514748</c:v>
                </c:pt>
                <c:pt idx="448">
                  <c:v>82.520744738901982</c:v>
                </c:pt>
                <c:pt idx="449">
                  <c:v>82.374678772912006</c:v>
                </c:pt>
                <c:pt idx="450">
                  <c:v>82.228486258935291</c:v>
                </c:pt>
                <c:pt idx="451">
                  <c:v>82.082169944235403</c:v>
                </c:pt>
                <c:pt idx="452">
                  <c:v>81.935732570847975</c:v>
                </c:pt>
                <c:pt idx="453">
                  <c:v>81.789176875480891</c:v>
                </c:pt>
                <c:pt idx="454">
                  <c:v>81.642505589415251</c:v>
                </c:pt>
                <c:pt idx="455">
                  <c:v>81.495721438406747</c:v>
                </c:pt>
                <c:pt idx="456">
                  <c:v>81.348827142588135</c:v>
                </c:pt>
                <c:pt idx="457">
                  <c:v>81.201825416372429</c:v>
                </c:pt>
                <c:pt idx="458">
                  <c:v>81.054718968356852</c:v>
                </c:pt>
                <c:pt idx="459">
                  <c:v>80.907510501227705</c:v>
                </c:pt>
                <c:pt idx="460">
                  <c:v>80.760202711665798</c:v>
                </c:pt>
                <c:pt idx="461">
                  <c:v>80.612798290252854</c:v>
                </c:pt>
                <c:pt idx="462">
                  <c:v>80.465299921378843</c:v>
                </c:pt>
                <c:pt idx="463">
                  <c:v>80.317710283149736</c:v>
                </c:pt>
                <c:pt idx="464">
                  <c:v>80.17003204729653</c:v>
                </c:pt>
                <c:pt idx="465">
                  <c:v>80.022267879084822</c:v>
                </c:pt>
                <c:pt idx="466">
                  <c:v>79.874420437225112</c:v>
                </c:pt>
                <c:pt idx="467">
                  <c:v>79.726492373784339</c:v>
                </c:pt>
                <c:pt idx="468">
                  <c:v>79.578486334097761</c:v>
                </c:pt>
                <c:pt idx="469">
                  <c:v>79.430404956682068</c:v>
                </c:pt>
                <c:pt idx="470">
                  <c:v>79.282250873148911</c:v>
                </c:pt>
                <c:pt idx="471">
                  <c:v>79.13402670811972</c:v>
                </c:pt>
                <c:pt idx="472">
                  <c:v>78.98573507914098</c:v>
                </c:pt>
                <c:pt idx="473">
                  <c:v>78.837378596600757</c:v>
                </c:pt>
                <c:pt idx="474">
                  <c:v>78.68895986364538</c:v>
                </c:pt>
                <c:pt idx="475">
                  <c:v>78.540481476097781</c:v>
                </c:pt>
                <c:pt idx="476">
                  <c:v>78.391946022376203</c:v>
                </c:pt>
                <c:pt idx="477">
                  <c:v>78.243356083413715</c:v>
                </c:pt>
                <c:pt idx="478">
                  <c:v>78.094714232578823</c:v>
                </c:pt>
                <c:pt idx="479">
                  <c:v>77.946023035596838</c:v>
                </c:pt>
                <c:pt idx="480">
                  <c:v>77.79728505047197</c:v>
                </c:pt>
                <c:pt idx="481">
                  <c:v>77.648502827410482</c:v>
                </c:pt>
                <c:pt idx="482">
                  <c:v>77.499678908744485</c:v>
                </c:pt>
                <c:pt idx="483">
                  <c:v>77.35081582885681</c:v>
                </c:pt>
                <c:pt idx="484">
                  <c:v>77.201916114106666</c:v>
                </c:pt>
                <c:pt idx="485">
                  <c:v>77.052982282755877</c:v>
                </c:pt>
                <c:pt idx="486">
                  <c:v>76.904016844896503</c:v>
                </c:pt>
                <c:pt idx="487">
                  <c:v>76.755022302378848</c:v>
                </c:pt>
                <c:pt idx="488">
                  <c:v>76.606001148740546</c:v>
                </c:pt>
                <c:pt idx="489">
                  <c:v>76.456955869136593</c:v>
                </c:pt>
                <c:pt idx="490">
                  <c:v>76.307888940269976</c:v>
                </c:pt>
                <c:pt idx="491">
                  <c:v>76.158802830323324</c:v>
                </c:pt>
                <c:pt idx="492">
                  <c:v>76.009699998891691</c:v>
                </c:pt>
                <c:pt idx="493">
                  <c:v>75.860582896915446</c:v>
                </c:pt>
                <c:pt idx="494">
                  <c:v>75.71145396661494</c:v>
                </c:pt>
                <c:pt idx="495">
                  <c:v>75.562315641425286</c:v>
                </c:pt>
                <c:pt idx="496">
                  <c:v>75.413170345932514</c:v>
                </c:pt>
                <c:pt idx="497">
                  <c:v>75.242827052419841</c:v>
                </c:pt>
                <c:pt idx="498">
                  <c:v>75.051289410438088</c:v>
                </c:pt>
                <c:pt idx="499">
                  <c:v>74.85978754827795</c:v>
                </c:pt>
                <c:pt idx="500">
                  <c:v>74.668324492480792</c:v>
                </c:pt>
                <c:pt idx="501">
                  <c:v>74.4769032551919</c:v>
                </c:pt>
                <c:pt idx="502">
                  <c:v>74.285526834088628</c:v>
                </c:pt>
                <c:pt idx="503">
                  <c:v>74.094198212310104</c:v>
                </c:pt>
                <c:pt idx="504">
                  <c:v>73.902920358388357</c:v>
                </c:pt>
                <c:pt idx="505">
                  <c:v>73.711696226180848</c:v>
                </c:pt>
                <c:pt idx="506">
                  <c:v>73.520528754804175</c:v>
                </c:pt>
                <c:pt idx="507">
                  <c:v>73.329420868569272</c:v>
                </c:pt>
                <c:pt idx="508">
                  <c:v>73.138375476918071</c:v>
                </c:pt>
                <c:pt idx="509">
                  <c:v>72.947395474361429</c:v>
                </c:pt>
                <c:pt idx="510">
                  <c:v>72.756483740418375</c:v>
                </c:pt>
                <c:pt idx="511">
                  <c:v>72.565643139556897</c:v>
                </c:pt>
                <c:pt idx="512">
                  <c:v>72.374876521135917</c:v>
                </c:pt>
                <c:pt idx="513">
                  <c:v>72.184186719348489</c:v>
                </c:pt>
                <c:pt idx="514">
                  <c:v>71.993576553166761</c:v>
                </c:pt>
                <c:pt idx="515">
                  <c:v>71.80304882628802</c:v>
                </c:pt>
                <c:pt idx="516">
                  <c:v>71.612606327081835</c:v>
                </c:pt>
                <c:pt idx="517">
                  <c:v>71.422251828539117</c:v>
                </c:pt>
                <c:pt idx="518">
                  <c:v>71.231988088222053</c:v>
                </c:pt>
                <c:pt idx="519">
                  <c:v>71.041817848215302</c:v>
                </c:pt>
                <c:pt idx="520">
                  <c:v>70.851743835078963</c:v>
                </c:pt>
                <c:pt idx="521">
                  <c:v>70.661768759802598</c:v>
                </c:pt>
                <c:pt idx="522">
                  <c:v>70.471895317760215</c:v>
                </c:pt>
                <c:pt idx="523">
                  <c:v>70.282126188667235</c:v>
                </c:pt>
                <c:pt idx="524">
                  <c:v>70.092464036538288</c:v>
                </c:pt>
                <c:pt idx="525">
                  <c:v>69.90291150964643</c:v>
                </c:pt>
                <c:pt idx="526">
                  <c:v>69.713471240483628</c:v>
                </c:pt>
                <c:pt idx="527">
                  <c:v>69.524145845722529</c:v>
                </c:pt>
                <c:pt idx="528">
                  <c:v>69.334937926179535</c:v>
                </c:pt>
                <c:pt idx="529">
                  <c:v>69.145850066779175</c:v>
                </c:pt>
                <c:pt idx="530">
                  <c:v>68.956884836519436</c:v>
                </c:pt>
                <c:pt idx="531">
                  <c:v>68.768044788439056</c:v>
                </c:pt>
                <c:pt idx="532">
                  <c:v>68.579332459585089</c:v>
                </c:pt>
                <c:pt idx="533">
                  <c:v>68.390750370982602</c:v>
                </c:pt>
                <c:pt idx="534">
                  <c:v>68.202301027605102</c:v>
                </c:pt>
                <c:pt idx="535">
                  <c:v>68.013986918346291</c:v>
                </c:pt>
                <c:pt idx="536">
                  <c:v>67.825810515993183</c:v>
                </c:pt>
                <c:pt idx="537">
                  <c:v>67.637774277200336</c:v>
                </c:pt>
                <c:pt idx="538">
                  <c:v>67.449880642465118</c:v>
                </c:pt>
                <c:pt idx="539">
                  <c:v>67.262132036104617</c:v>
                </c:pt>
                <c:pt idx="540">
                  <c:v>67.074530866233246</c:v>
                </c:pt>
                <c:pt idx="541">
                  <c:v>66.887079524741992</c:v>
                </c:pt>
                <c:pt idx="542">
                  <c:v>66.699780387278508</c:v>
                </c:pt>
                <c:pt idx="543">
                  <c:v>66.512635813228371</c:v>
                </c:pt>
                <c:pt idx="544">
                  <c:v>66.325648145698096</c:v>
                </c:pt>
                <c:pt idx="545">
                  <c:v>66.138819711498314</c:v>
                </c:pt>
                <c:pt idx="546">
                  <c:v>65.952152821128863</c:v>
                </c:pt>
                <c:pt idx="547">
                  <c:v>65.765649768764987</c:v>
                </c:pt>
                <c:pt idx="548">
                  <c:v>65.579312832244298</c:v>
                </c:pt>
                <c:pt idx="549">
                  <c:v>65.393144273054943</c:v>
                </c:pt>
                <c:pt idx="550">
                  <c:v>65.192770958293963</c:v>
                </c:pt>
                <c:pt idx="551">
                  <c:v>64.959019106269352</c:v>
                </c:pt>
                <c:pt idx="552">
                  <c:v>64.725499697956991</c:v>
                </c:pt>
                <c:pt idx="553">
                  <c:v>64.492215571153565</c:v>
                </c:pt>
                <c:pt idx="554">
                  <c:v>64.259169539831021</c:v>
                </c:pt>
                <c:pt idx="555">
                  <c:v>64.026364394138227</c:v>
                </c:pt>
                <c:pt idx="556">
                  <c:v>63.793802900403989</c:v>
                </c:pt>
                <c:pt idx="557">
                  <c:v>63.561487801141666</c:v>
                </c:pt>
                <c:pt idx="558">
                  <c:v>63.329421815056051</c:v>
                </c:pt>
                <c:pt idx="559">
                  <c:v>63.097607637051098</c:v>
                </c:pt>
                <c:pt idx="560">
                  <c:v>62.866047938240015</c:v>
                </c:pt>
                <c:pt idx="561">
                  <c:v>62.634745365956647</c:v>
                </c:pt>
                <c:pt idx="562">
                  <c:v>62.403702543768382</c:v>
                </c:pt>
                <c:pt idx="563">
                  <c:v>62.172922071491044</c:v>
                </c:pt>
                <c:pt idx="564">
                  <c:v>61.942406525204895</c:v>
                </c:pt>
                <c:pt idx="565">
                  <c:v>61.712158457272579</c:v>
                </c:pt>
                <c:pt idx="566">
                  <c:v>61.482180396358736</c:v>
                </c:pt>
                <c:pt idx="567">
                  <c:v>61.252474847450486</c:v>
                </c:pt>
                <c:pt idx="568">
                  <c:v>61.023044291880176</c:v>
                </c:pt>
                <c:pt idx="569">
                  <c:v>60.793891187349423</c:v>
                </c:pt>
                <c:pt idx="570">
                  <c:v>60.565017967954326</c:v>
                </c:pt>
                <c:pt idx="571">
                  <c:v>60.336427044212826</c:v>
                </c:pt>
                <c:pt idx="572">
                  <c:v>60.108120803092646</c:v>
                </c:pt>
                <c:pt idx="573">
                  <c:v>59.880101608041578</c:v>
                </c:pt>
                <c:pt idx="574">
                  <c:v>59.65237179901866</c:v>
                </c:pt>
                <c:pt idx="575">
                  <c:v>59.424933692527063</c:v>
                </c:pt>
                <c:pt idx="576">
                  <c:v>59.197789581647939</c:v>
                </c:pt>
                <c:pt idx="577">
                  <c:v>58.970941736076369</c:v>
                </c:pt>
                <c:pt idx="578">
                  <c:v>58.744392402157992</c:v>
                </c:pt>
                <c:pt idx="579">
                  <c:v>58.518143802927504</c:v>
                </c:pt>
                <c:pt idx="580">
                  <c:v>58.292198138148152</c:v>
                </c:pt>
                <c:pt idx="581">
                  <c:v>58.066557584352864</c:v>
                </c:pt>
                <c:pt idx="582">
                  <c:v>57.841224294886437</c:v>
                </c:pt>
                <c:pt idx="583">
                  <c:v>57.616200399949122</c:v>
                </c:pt>
                <c:pt idx="584">
                  <c:v>57.391488006641552</c:v>
                </c:pt>
                <c:pt idx="585">
                  <c:v>57.167089199010896</c:v>
                </c:pt>
                <c:pt idx="586">
                  <c:v>56.943006038098218</c:v>
                </c:pt>
                <c:pt idx="587">
                  <c:v>56.719240561987235</c:v>
                </c:pt>
                <c:pt idx="588">
                  <c:v>56.495794785853931</c:v>
                </c:pt>
                <c:pt idx="589">
                  <c:v>56.272670702017926</c:v>
                </c:pt>
                <c:pt idx="590">
                  <c:v>56.049870279994565</c:v>
                </c:pt>
                <c:pt idx="591">
                  <c:v>55.827395466548481</c:v>
                </c:pt>
                <c:pt idx="592">
                  <c:v>55.605248185747975</c:v>
                </c:pt>
                <c:pt idx="593">
                  <c:v>55.383430339021082</c:v>
                </c:pt>
                <c:pt idx="594">
                  <c:v>55.161943805212189</c:v>
                </c:pt>
                <c:pt idx="595">
                  <c:v>54.940790440640235</c:v>
                </c:pt>
                <c:pt idx="596">
                  <c:v>54.719972079157642</c:v>
                </c:pt>
                <c:pt idx="597">
                  <c:v>54.499490532210643</c:v>
                </c:pt>
                <c:pt idx="598">
                  <c:v>54.279347588900357</c:v>
                </c:pt>
                <c:pt idx="599">
                  <c:v>54.059545016045355</c:v>
                </c:pt>
                <c:pt idx="600">
                  <c:v>53.84008455824479</c:v>
                </c:pt>
                <c:pt idx="601">
                  <c:v>53.620967937942865</c:v>
                </c:pt>
                <c:pt idx="602">
                  <c:v>53.40219685549414</c:v>
                </c:pt>
                <c:pt idx="603">
                  <c:v>53.183772989230071</c:v>
                </c:pt>
                <c:pt idx="604">
                  <c:v>52.965697995526128</c:v>
                </c:pt>
                <c:pt idx="605">
                  <c:v>52.747973508870309</c:v>
                </c:pt>
                <c:pt idx="606">
                  <c:v>52.530601141932394</c:v>
                </c:pt>
                <c:pt idx="607">
                  <c:v>52.313582485633951</c:v>
                </c:pt>
                <c:pt idx="608">
                  <c:v>52.096919109219662</c:v>
                </c:pt>
                <c:pt idx="609">
                  <c:v>51.880612560329268</c:v>
                </c:pt>
                <c:pt idx="610">
                  <c:v>51.664664365070522</c:v>
                </c:pt>
                <c:pt idx="611">
                  <c:v>51.449076028092882</c:v>
                </c:pt>
                <c:pt idx="612">
                  <c:v>51.105740971645652</c:v>
                </c:pt>
                <c:pt idx="613">
                  <c:v>50.76297560551761</c:v>
                </c:pt>
                <c:pt idx="614">
                  <c:v>50.420782874695249</c:v>
                </c:pt>
                <c:pt idx="615">
                  <c:v>50.079165677344456</c:v>
                </c:pt>
                <c:pt idx="616">
                  <c:v>49.738126864989077</c:v>
                </c:pt>
                <c:pt idx="617">
                  <c:v>49.397669242692253</c:v>
                </c:pt>
                <c:pt idx="618">
                  <c:v>49.057795569239353</c:v>
                </c:pt>
                <c:pt idx="619">
                  <c:v>48.718508557323716</c:v>
                </c:pt>
                <c:pt idx="620">
                  <c:v>48.37981087373484</c:v>
                </c:pt>
                <c:pt idx="621">
                  <c:v>48.041705139548768</c:v>
                </c:pt>
                <c:pt idx="622">
                  <c:v>47.704193930320756</c:v>
                </c:pt>
                <c:pt idx="623">
                  <c:v>47.367279776280554</c:v>
                </c:pt>
                <c:pt idx="624">
                  <c:v>47.030965162529249</c:v>
                </c:pt>
                <c:pt idx="625">
                  <c:v>46.695252529239042</c:v>
                </c:pt>
                <c:pt idx="626">
                  <c:v>46.360144271854502</c:v>
                </c:pt>
                <c:pt idx="627">
                  <c:v>46.025642741296181</c:v>
                </c:pt>
                <c:pt idx="628">
                  <c:v>45.691750244166478</c:v>
                </c:pt>
                <c:pt idx="629">
                  <c:v>45.358469042956827</c:v>
                </c:pt>
                <c:pt idx="630">
                  <c:v>45.025801356257595</c:v>
                </c:pt>
                <c:pt idx="631">
                  <c:v>44.693749358969335</c:v>
                </c:pt>
                <c:pt idx="632">
                  <c:v>44.362315182516028</c:v>
                </c:pt>
                <c:pt idx="633">
                  <c:v>44.031500915060349</c:v>
                </c:pt>
                <c:pt idx="634">
                  <c:v>43.701308601720299</c:v>
                </c:pt>
                <c:pt idx="635">
                  <c:v>43.371740244787837</c:v>
                </c:pt>
                <c:pt idx="636">
                  <c:v>43.042797803949128</c:v>
                </c:pt>
                <c:pt idx="637">
                  <c:v>42.714483196506357</c:v>
                </c:pt>
                <c:pt idx="638">
                  <c:v>42.38679829760126</c:v>
                </c:pt>
                <c:pt idx="639">
                  <c:v>42.05974494043987</c:v>
                </c:pt>
                <c:pt idx="640">
                  <c:v>41.733324916519166</c:v>
                </c:pt>
                <c:pt idx="641">
                  <c:v>41.407539975855109</c:v>
                </c:pt>
                <c:pt idx="642">
                  <c:v>41.08239182721163</c:v>
                </c:pt>
                <c:pt idx="643">
                  <c:v>40.757882138331652</c:v>
                </c:pt>
                <c:pt idx="644">
                  <c:v>40.434012536169192</c:v>
                </c:pt>
                <c:pt idx="645">
                  <c:v>40.110784607122191</c:v>
                </c:pt>
                <c:pt idx="646">
                  <c:v>39.432717930973787</c:v>
                </c:pt>
                <c:pt idx="647">
                  <c:v>38.716446622902289</c:v>
                </c:pt>
                <c:pt idx="648">
                  <c:v>38.001580173794665</c:v>
                </c:pt>
                <c:pt idx="649">
                  <c:v>37.288126612795821</c:v>
                </c:pt>
                <c:pt idx="650">
                  <c:v>36.576093791907965</c:v>
                </c:pt>
                <c:pt idx="651">
                  <c:v>35.865489386917794</c:v>
                </c:pt>
                <c:pt idx="652">
                  <c:v>35.156320898338599</c:v>
                </c:pt>
                <c:pt idx="653">
                  <c:v>34.448595652366031</c:v>
                </c:pt>
                <c:pt idx="654">
                  <c:v>33.742320801848173</c:v>
                </c:pt>
                <c:pt idx="655">
                  <c:v>33.037503327268716</c:v>
                </c:pt>
                <c:pt idx="656">
                  <c:v>32.334150037743299</c:v>
                </c:pt>
                <c:pt idx="657">
                  <c:v>31.632267572028482</c:v>
                </c:pt>
                <c:pt idx="658">
                  <c:v>30.931862399543199</c:v>
                </c:pt>
                <c:pt idx="659">
                  <c:v>30.23294082140205</c:v>
                </c:pt>
                <c:pt idx="660">
                  <c:v>29.535508971460402</c:v>
                </c:pt>
                <c:pt idx="661">
                  <c:v>28.839572817370438</c:v>
                </c:pt>
                <c:pt idx="662">
                  <c:v>28.145138161648482</c:v>
                </c:pt>
                <c:pt idx="663">
                  <c:v>27.452210642752743</c:v>
                </c:pt>
                <c:pt idx="664">
                  <c:v>26.760795736171264</c:v>
                </c:pt>
                <c:pt idx="665">
                  <c:v>26.070898755519771</c:v>
                </c:pt>
                <c:pt idx="666">
                  <c:v>24.62908702418806</c:v>
                </c:pt>
                <c:pt idx="667">
                  <c:v>23.001995086514938</c:v>
                </c:pt>
                <c:pt idx="668">
                  <c:v>21.378555360683265</c:v>
                </c:pt>
                <c:pt idx="669">
                  <c:v>19.758805666807582</c:v>
                </c:pt>
                <c:pt idx="670">
                  <c:v>18.142782937092488</c:v>
                </c:pt>
                <c:pt idx="671">
                  <c:v>16.530523219875384</c:v>
                </c:pt>
                <c:pt idx="672">
                  <c:v>14.922061683834498</c:v>
                </c:pt>
                <c:pt idx="673">
                  <c:v>13.317432622358908</c:v>
                </c:pt>
                <c:pt idx="674">
                  <c:v>11.716669458075833</c:v>
                </c:pt>
                <c:pt idx="675">
                  <c:v>10.119804747531708</c:v>
                </c:pt>
                <c:pt idx="676">
                  <c:v>8.5268701860221707</c:v>
                </c:pt>
                <c:pt idx="677">
                  <c:v>6.9378966125677906</c:v>
                </c:pt>
                <c:pt idx="678">
                  <c:v>5.3529140150302625</c:v>
                </c:pt>
                <c:pt idx="679">
                  <c:v>3.7719515353663597</c:v>
                </c:pt>
                <c:pt idx="680">
                  <c:v>2.1950374750145252</c:v>
                </c:pt>
                <c:pt idx="681">
                  <c:v>0.62219930041030813</c:v>
                </c:pt>
                <c:pt idx="682">
                  <c:v>-0.94653635137317993</c:v>
                </c:pt>
                <c:pt idx="683">
                  <c:v>-2.5111436668636018</c:v>
                </c:pt>
                <c:pt idx="684">
                  <c:v>-4.0715976503117348</c:v>
                </c:pt>
                <c:pt idx="685">
                  <c:v>-5.6278741177000011</c:v>
                </c:pt>
                <c:pt idx="686">
                  <c:v>-7.1799496906423794</c:v>
                </c:pt>
                <c:pt idx="687">
                  <c:v>-8.7278017901796261</c:v>
                </c:pt>
                <c:pt idx="688">
                  <c:v>-10.271408630472882</c:v>
                </c:pt>
                <c:pt idx="689">
                  <c:v>-11.810749212400545</c:v>
                </c:pt>
                <c:pt idx="690">
                  <c:v>-13.345803317061172</c:v>
                </c:pt>
                <c:pt idx="691">
                  <c:v>-14.876551499187498</c:v>
                </c:pt>
                <c:pt idx="692">
                  <c:v>-16.402975080474011</c:v>
                </c:pt>
                <c:pt idx="693">
                  <c:v>-17.925056142822982</c:v>
                </c:pt>
                <c:pt idx="694">
                  <c:v>-19.442777521512006</c:v>
                </c:pt>
                <c:pt idx="695">
                  <c:v>-20.956122798286682</c:v>
                </c:pt>
                <c:pt idx="696">
                  <c:v>-22.465076294382708</c:v>
                </c:pt>
                <c:pt idx="697">
                  <c:v>-23.969623063480192</c:v>
                </c:pt>
                <c:pt idx="698">
                  <c:v>-25.469748884594257</c:v>
                </c:pt>
                <c:pt idx="699">
                  <c:v>-26.965440254905431</c:v>
                </c:pt>
                <c:pt idx="700">
                  <c:v>-28.456684382533052</c:v>
                </c:pt>
                <c:pt idx="701">
                  <c:v>-29.943469179255217</c:v>
                </c:pt>
                <c:pt idx="702">
                  <c:v>-31.425783253178899</c:v>
                </c:pt>
                <c:pt idx="703">
                  <c:v>-32.903615901363203</c:v>
                </c:pt>
                <c:pt idx="704">
                  <c:v>-34.376957102399388</c:v>
                </c:pt>
                <c:pt idx="705">
                  <c:v>-35.845797508950675</c:v>
                </c:pt>
                <c:pt idx="706">
                  <c:v>-37.310128440255426</c:v>
                </c:pt>
                <c:pt idx="707">
                  <c:v>-38.769941874595979</c:v>
                </c:pt>
                <c:pt idx="708">
                  <c:v>-40.245668936484428</c:v>
                </c:pt>
                <c:pt idx="709">
                  <c:v>-41.900782057133846</c:v>
                </c:pt>
                <c:pt idx="710">
                  <c:v>-43.550661437784846</c:v>
                </c:pt>
                <c:pt idx="711">
                  <c:v>-45.195295142480823</c:v>
                </c:pt>
                <c:pt idx="712">
                  <c:v>-46.834672079627012</c:v>
                </c:pt>
                <c:pt idx="713">
                  <c:v>-48.468781992218766</c:v>
                </c:pt>
                <c:pt idx="714">
                  <c:v>-50.097615448023717</c:v>
                </c:pt>
                <c:pt idx="715">
                  <c:v>-51.721163829723125</c:v>
                </c:pt>
                <c:pt idx="716">
                  <c:v>-53.33941932501574</c:v>
                </c:pt>
                <c:pt idx="717">
                  <c:v>-54.952374916689664</c:v>
                </c:pt>
                <c:pt idx="718">
                  <c:v>-56.560024372665168</c:v>
                </c:pt>
                <c:pt idx="719">
                  <c:v>-58.162362236013564</c:v>
                </c:pt>
                <c:pt idx="720">
                  <c:v>-59.759383814955441</c:v>
                </c:pt>
                <c:pt idx="721">
                  <c:v>-61.35108517284305</c:v>
                </c:pt>
                <c:pt idx="722">
                  <c:v>-62.937463118129919</c:v>
                </c:pt>
                <c:pt idx="723">
                  <c:v>-64.518515194331741</c:v>
                </c:pt>
                <c:pt idx="724">
                  <c:v>-66.094239669982983</c:v>
                </c:pt>
                <c:pt idx="725">
                  <c:v>-70.261377266267189</c:v>
                </c:pt>
                <c:pt idx="726">
                  <c:v>-75.525596755986072</c:v>
                </c:pt>
                <c:pt idx="727">
                  <c:v>-75.202571268559467</c:v>
                </c:pt>
                <c:pt idx="728">
                  <c:v>-74.881535390486093</c:v>
                </c:pt>
                <c:pt idx="729">
                  <c:v>-74.562472640548933</c:v>
                </c:pt>
                <c:pt idx="730">
                  <c:v>-74.245366709142374</c:v>
                </c:pt>
                <c:pt idx="731">
                  <c:v>-73.930201456122234</c:v>
                </c:pt>
                <c:pt idx="732">
                  <c:v>-73.616960908686806</c:v>
                </c:pt>
                <c:pt idx="733">
                  <c:v>-73.305629259289432</c:v>
                </c:pt>
                <c:pt idx="734">
                  <c:v>-72.996190863580821</c:v>
                </c:pt>
                <c:pt idx="735">
                  <c:v>-72.688630238382032</c:v>
                </c:pt>
                <c:pt idx="736">
                  <c:v>-72.382932059686354</c:v>
                </c:pt>
                <c:pt idx="737">
                  <c:v>-72.079081160690166</c:v>
                </c:pt>
                <c:pt idx="738">
                  <c:v>-71.7770625298525</c:v>
                </c:pt>
                <c:pt idx="739">
                  <c:v>-71.476861308982507</c:v>
                </c:pt>
                <c:pt idx="740">
                  <c:v>-71.17846279135415</c:v>
                </c:pt>
                <c:pt idx="741">
                  <c:v>-70.881852419848443</c:v>
                </c:pt>
                <c:pt idx="742">
                  <c:v>-70.587015785121991</c:v>
                </c:pt>
                <c:pt idx="743">
                  <c:v>-70.293938623801864</c:v>
                </c:pt>
                <c:pt idx="744">
                  <c:v>-70.00260681670612</c:v>
                </c:pt>
                <c:pt idx="745">
                  <c:v>-69.713006387089621</c:v>
                </c:pt>
                <c:pt idx="746">
                  <c:v>-69.425123498915241</c:v>
                </c:pt>
                <c:pt idx="747">
                  <c:v>-69.138944455148859</c:v>
                </c:pt>
                <c:pt idx="748">
                  <c:v>-68.854455696079199</c:v>
                </c:pt>
                <c:pt idx="749">
                  <c:v>-68.571643797660727</c:v>
                </c:pt>
                <c:pt idx="750">
                  <c:v>-68.29049546988054</c:v>
                </c:pt>
                <c:pt idx="751">
                  <c:v>-68.010997555147839</c:v>
                </c:pt>
                <c:pt idx="752">
                  <c:v>-67.733137026705975</c:v>
                </c:pt>
                <c:pt idx="753">
                  <c:v>-67.456900987067158</c:v>
                </c:pt>
                <c:pt idx="754">
                  <c:v>-67.182276666468425</c:v>
                </c:pt>
                <c:pt idx="755">
                  <c:v>-66.909251421349836</c:v>
                </c:pt>
                <c:pt idx="756">
                  <c:v>-66.637812732853178</c:v>
                </c:pt>
                <c:pt idx="757">
                  <c:v>-66.367948205342117</c:v>
                </c:pt>
                <c:pt idx="758">
                  <c:v>-66.099645564942449</c:v>
                </c:pt>
                <c:pt idx="759">
                  <c:v>-65.832892658102864</c:v>
                </c:pt>
                <c:pt idx="760">
                  <c:v>-65.567677450175395</c:v>
                </c:pt>
                <c:pt idx="761">
                  <c:v>-65.303988024015354</c:v>
                </c:pt>
                <c:pt idx="762">
                  <c:v>-65.04181257860084</c:v>
                </c:pt>
                <c:pt idx="763">
                  <c:v>-64.78113942767105</c:v>
                </c:pt>
                <c:pt idx="764">
                  <c:v>-64.521956998382905</c:v>
                </c:pt>
                <c:pt idx="765">
                  <c:v>-64.264253829986686</c:v>
                </c:pt>
                <c:pt idx="766">
                  <c:v>-64.008018572519376</c:v>
                </c:pt>
                <c:pt idx="767">
                  <c:v>-63.753239985515506</c:v>
                </c:pt>
                <c:pt idx="768">
                  <c:v>-63.499906936736295</c:v>
                </c:pt>
                <c:pt idx="769">
                  <c:v>-63.248008400915325</c:v>
                </c:pt>
                <c:pt idx="770">
                  <c:v>-62.99753345852141</c:v>
                </c:pt>
                <c:pt idx="771">
                  <c:v>-62.748471294538447</c:v>
                </c:pt>
                <c:pt idx="772">
                  <c:v>-62.50081119726142</c:v>
                </c:pt>
                <c:pt idx="773">
                  <c:v>-62.2545425571085</c:v>
                </c:pt>
                <c:pt idx="774">
                  <c:v>-62.009654865449562</c:v>
                </c:pt>
                <c:pt idx="775">
                  <c:v>-61.766137713450135</c:v>
                </c:pt>
                <c:pt idx="776">
                  <c:v>-61.52398079093048</c:v>
                </c:pt>
                <c:pt idx="777">
                  <c:v>-61.283173885240664</c:v>
                </c:pt>
                <c:pt idx="778">
                  <c:v>-61.043706880150069</c:v>
                </c:pt>
                <c:pt idx="779">
                  <c:v>-60.805569754751652</c:v>
                </c:pt>
                <c:pt idx="780">
                  <c:v>-60.568752582381158</c:v>
                </c:pt>
                <c:pt idx="781">
                  <c:v>-60.333245529550268</c:v>
                </c:pt>
                <c:pt idx="782">
                  <c:v>-60.099038854894083</c:v>
                </c:pt>
                <c:pt idx="783">
                  <c:v>-59.866122908132397</c:v>
                </c:pt>
                <c:pt idx="784">
                  <c:v>-59.63448812904457</c:v>
                </c:pt>
                <c:pt idx="785">
                  <c:v>-59.404125046458205</c:v>
                </c:pt>
                <c:pt idx="786">
                  <c:v>-59.175024277250699</c:v>
                </c:pt>
                <c:pt idx="787">
                  <c:v>-58.947176525364164</c:v>
                </c:pt>
                <c:pt idx="788">
                  <c:v>-58.720572580833014</c:v>
                </c:pt>
                <c:pt idx="789">
                  <c:v>-58.495203318824501</c:v>
                </c:pt>
                <c:pt idx="790">
                  <c:v>-58.271059698691438</c:v>
                </c:pt>
                <c:pt idx="791">
                  <c:v>-58.048132763037451</c:v>
                </c:pt>
                <c:pt idx="792">
                  <c:v>-57.826413636794399</c:v>
                </c:pt>
                <c:pt idx="793">
                  <c:v>-57.605893526311462</c:v>
                </c:pt>
                <c:pt idx="794">
                  <c:v>-57.386563718456344</c:v>
                </c:pt>
                <c:pt idx="795">
                  <c:v>-57.168415579727728</c:v>
                </c:pt>
                <c:pt idx="796">
                  <c:v>-56.951440555379619</c:v>
                </c:pt>
                <c:pt idx="797">
                  <c:v>-56.735630168556469</c:v>
                </c:pt>
                <c:pt idx="798">
                  <c:v>-56.52097601943958</c:v>
                </c:pt>
                <c:pt idx="799">
                  <c:v>-56.307469784404617</c:v>
                </c:pt>
                <c:pt idx="800">
                  <c:v>-56.095103215189539</c:v>
                </c:pt>
                <c:pt idx="801">
                  <c:v>-55.88386813807351</c:v>
                </c:pt>
                <c:pt idx="802">
                  <c:v>-53.80520775923398</c:v>
                </c:pt>
                <c:pt idx="803">
                  <c:v>-51.834448342598172</c:v>
                </c:pt>
                <c:pt idx="804">
                  <c:v>-49.96416152698491</c:v>
                </c:pt>
                <c:pt idx="805">
                  <c:v>-48.187553669995843</c:v>
                </c:pt>
                <c:pt idx="806">
                  <c:v>-46.498401449007325</c:v>
                </c:pt>
                <c:pt idx="807">
                  <c:v>-44.890994994313324</c:v>
                </c:pt>
                <c:pt idx="808">
                  <c:v>-43.36008756047633</c:v>
                </c:pt>
                <c:pt idx="809">
                  <c:v>-41.900850887537871</c:v>
                </c:pt>
                <c:pt idx="810">
                  <c:v>-40.508835525957366</c:v>
                </c:pt>
                <c:pt idx="811">
                  <c:v>-39.179935502067437</c:v>
                </c:pt>
                <c:pt idx="812">
                  <c:v>-37.910356787752875</c:v>
                </c:pt>
                <c:pt idx="813">
                  <c:v>-36.696589111686926</c:v>
                </c:pt>
                <c:pt idx="814">
                  <c:v>-35.535380711994037</c:v>
                </c:pt>
                <c:pt idx="815">
                  <c:v>-34.423715683469567</c:v>
                </c:pt>
                <c:pt idx="816">
                  <c:v>-33.358793617967457</c:v>
                </c:pt>
                <c:pt idx="817">
                  <c:v>-32.338011275500371</c:v>
                </c:pt>
                <c:pt idx="818">
                  <c:v>-31.358946057009248</c:v>
                </c:pt>
                <c:pt idx="819">
                  <c:v>-30.419341078499023</c:v>
                </c:pt>
                <c:pt idx="820">
                  <c:v>-29.51709167101729</c:v>
                </c:pt>
                <c:pt idx="821">
                  <c:v>-28.650233152363857</c:v>
                </c:pt>
                <c:pt idx="822">
                  <c:v>-27.816929734960915</c:v>
                </c:pt>
                <c:pt idx="823">
                  <c:v>-27.015464450403663</c:v>
                </c:pt>
                <c:pt idx="824">
                  <c:v>-26.244229985201994</c:v>
                </c:pt>
                <c:pt idx="825">
                  <c:v>-25.50172033441385</c:v>
                </c:pt>
                <c:pt idx="826">
                  <c:v>-24.786523190511843</c:v>
                </c:pt>
                <c:pt idx="827">
                  <c:v>-24.09731299413129</c:v>
                </c:pt>
                <c:pt idx="828">
                  <c:v>-23.432844581501399</c:v>
                </c:pt>
                <c:pt idx="829">
                  <c:v>-22.791947370518741</c:v>
                </c:pt>
                <c:pt idx="830">
                  <c:v>-22.173520033714066</c:v>
                </c:pt>
                <c:pt idx="831">
                  <c:v>-21.576525611905957</c:v>
                </c:pt>
                <c:pt idx="832">
                  <c:v>-20.999987027223085</c:v>
                </c:pt>
                <c:pt idx="833">
                  <c:v>-20.442982958496341</c:v>
                </c:pt>
                <c:pt idx="834">
                  <c:v>-19.904644045844847</c:v>
                </c:pt>
                <c:pt idx="835">
                  <c:v>-19.384149394666849</c:v>
                </c:pt>
                <c:pt idx="836">
                  <c:v>-18.88072335225354</c:v>
                </c:pt>
                <c:pt idx="837">
                  <c:v>-18.393632532916662</c:v>
                </c:pt>
                <c:pt idx="838">
                  <c:v>-17.922183069898828</c:v>
                </c:pt>
                <c:pt idx="839">
                  <c:v>-17.465718074456479</c:v>
                </c:pt>
                <c:pt idx="840">
                  <c:v>-17.023615284397401</c:v>
                </c:pt>
                <c:pt idx="841">
                  <c:v>-16.595284886046031</c:v>
                </c:pt>
                <c:pt idx="842">
                  <c:v>-16.180167495123111</c:v>
                </c:pt>
                <c:pt idx="843">
                  <c:v>-15.777732283381972</c:v>
                </c:pt>
                <c:pt idx="844">
                  <c:v>-15.387475239060281</c:v>
                </c:pt>
                <c:pt idx="845">
                  <c:v>-15.00891755029809</c:v>
                </c:pt>
                <c:pt idx="846">
                  <c:v>-14.641604101655508</c:v>
                </c:pt>
                <c:pt idx="847">
                  <c:v>-14.285102074747224</c:v>
                </c:pt>
                <c:pt idx="848">
                  <c:v>-13.938999644808273</c:v>
                </c:pt>
                <c:pt idx="849">
                  <c:v>-13.602904765723792</c:v>
                </c:pt>
                <c:pt idx="850">
                  <c:v>-13.276444036705451</c:v>
                </c:pt>
                <c:pt idx="851">
                  <c:v>-12.959261644383512</c:v>
                </c:pt>
                <c:pt idx="852">
                  <c:v>-12.65101837461542</c:v>
                </c:pt>
                <c:pt idx="853">
                  <c:v>-12.351390688792518</c:v>
                </c:pt>
                <c:pt idx="854">
                  <c:v>-12.060069859863416</c:v>
                </c:pt>
                <c:pt idx="855">
                  <c:v>-11.776761163688423</c:v>
                </c:pt>
                <c:pt idx="856">
                  <c:v>-11.501183121699523</c:v>
                </c:pt>
                <c:pt idx="857">
                  <c:v>-11.23306679116779</c:v>
                </c:pt>
                <c:pt idx="858">
                  <c:v>-10.972155099678009</c:v>
                </c:pt>
                <c:pt idx="859">
                  <c:v>-10.718202220681892</c:v>
                </c:pt>
                <c:pt idx="860">
                  <c:v>-10.470972987248697</c:v>
                </c:pt>
                <c:pt idx="861">
                  <c:v>-10.230242341358142</c:v>
                </c:pt>
                <c:pt idx="862">
                  <c:v>-9.995794816286784</c:v>
                </c:pt>
                <c:pt idx="863">
                  <c:v>-9.7674240498278131</c:v>
                </c:pt>
                <c:pt idx="864">
                  <c:v>-9.5449323262566779</c:v>
                </c:pt>
                <c:pt idx="865">
                  <c:v>-9.3281301451132137</c:v>
                </c:pt>
                <c:pt idx="866">
                  <c:v>-9.1168358150156781</c:v>
                </c:pt>
                <c:pt idx="867">
                  <c:v>-8.9108750708549707</c:v>
                </c:pt>
                <c:pt idx="868">
                  <c:v>-8.7100807128392308</c:v>
                </c:pt>
                <c:pt idx="869">
                  <c:v>-8.5142922659710418</c:v>
                </c:pt>
                <c:pt idx="870">
                  <c:v>-8.3233556586423276</c:v>
                </c:pt>
                <c:pt idx="871">
                  <c:v>-8.1371229191267016</c:v>
                </c:pt>
                <c:pt idx="872">
                  <c:v>-7.955451888836321</c:v>
                </c:pt>
                <c:pt idx="873">
                  <c:v>-7.7782059512903095</c:v>
                </c:pt>
                <c:pt idx="874">
                  <c:v>-7.6052537758160685</c:v>
                </c:pt>
                <c:pt idx="875">
                  <c:v>-7.436469075072849</c:v>
                </c:pt>
                <c:pt idx="876">
                  <c:v>-7.2717303755500335</c:v>
                </c:pt>
                <c:pt idx="877">
                  <c:v>-7.1109208002507209</c:v>
                </c:pt>
                <c:pt idx="878">
                  <c:v>-6.9539278628249521</c:v>
                </c:pt>
                <c:pt idx="879">
                  <c:v>-6.8006432724666803</c:v>
                </c:pt>
                <c:pt idx="880">
                  <c:v>-6.6509627489345045</c:v>
                </c:pt>
                <c:pt idx="881">
                  <c:v>-6.504785847098864</c:v>
                </c:pt>
                <c:pt idx="882">
                  <c:v>-6.3620157904577699</c:v>
                </c:pt>
                <c:pt idx="883">
                  <c:v>-6.2225593130997741</c:v>
                </c:pt>
                <c:pt idx="884">
                  <c:v>-6.0863265096267902</c:v>
                </c:pt>
                <c:pt idx="885">
                  <c:v>-5.9532306925808216</c:v>
                </c:pt>
                <c:pt idx="886">
                  <c:v>-5.8231882569479669</c:v>
                </c:pt>
                <c:pt idx="887">
                  <c:v>-5.6961185513401222</c:v>
                </c:pt>
                <c:pt idx="888">
                  <c:v>-5.5719437554801834</c:v>
                </c:pt>
                <c:pt idx="889">
                  <c:v>-5.4505887636398729</c:v>
                </c:pt>
                <c:pt idx="890">
                  <c:v>-5.3319810737013036</c:v>
                </c:pt>
                <c:pt idx="891">
                  <c:v>-5.2160506815336731</c:v>
                </c:pt>
                <c:pt idx="892">
                  <c:v>-5.102729980395444</c:v>
                </c:pt>
                <c:pt idx="893">
                  <c:v>-4.9919536650900076</c:v>
                </c:pt>
                <c:pt idx="894">
                  <c:v>-4.883658640619343</c:v>
                </c:pt>
                <c:pt idx="895">
                  <c:v>-4.7777839350955142</c:v>
                </c:pt>
                <c:pt idx="896">
                  <c:v>-4.6742706166842032</c:v>
                </c:pt>
                <c:pt idx="897">
                  <c:v>-4.5730617143678405</c:v>
                </c:pt>
                <c:pt idx="898">
                  <c:v>-4.4741021423284808</c:v>
                </c:pt>
                <c:pt idx="899">
                  <c:v>-4.3773386277621515</c:v>
                </c:pt>
                <c:pt idx="900">
                  <c:v>-4.282719641947434</c:v>
                </c:pt>
                <c:pt idx="901">
                  <c:v>-4.1901953344012313</c:v>
                </c:pt>
                <c:pt idx="902">
                  <c:v>-4.09971746996424</c:v>
                </c:pt>
                <c:pt idx="903">
                  <c:v>-4.0112393686676064</c:v>
                </c:pt>
                <c:pt idx="904">
                  <c:v>-3.9247158482406705</c:v>
                </c:pt>
                <c:pt idx="905">
                  <c:v>-3.8401031691275493</c:v>
                </c:pt>
                <c:pt idx="906">
                  <c:v>-3.7573589818876827</c:v>
                </c:pt>
                <c:pt idx="907">
                  <c:v>-3.6764422768623777</c:v>
                </c:pt>
                <c:pt idx="908">
                  <c:v>-3.5973133359959224</c:v>
                </c:pt>
                <c:pt idx="909">
                  <c:v>-3.5199336867058602</c:v>
                </c:pt>
                <c:pt idx="910">
                  <c:v>-3.4442660577027904</c:v>
                </c:pt>
                <c:pt idx="911">
                  <c:v>-3.3702743366653953</c:v>
                </c:pt>
                <c:pt idx="912">
                  <c:v>-3.2979235296814866</c:v>
                </c:pt>
                <c:pt idx="913">
                  <c:v>-3.2271797223705456</c:v>
                </c:pt>
                <c:pt idx="914">
                  <c:v>-3.1580100426077355</c:v>
                </c:pt>
                <c:pt idx="915">
                  <c:v>-3.0903826247735497</c:v>
                </c:pt>
                <c:pt idx="916">
                  <c:v>-3.0242665754572031</c:v>
                </c:pt>
                <c:pt idx="917">
                  <c:v>-2.95963194054558</c:v>
                </c:pt>
                <c:pt idx="918">
                  <c:v>-2.8964496736330534</c:v>
                </c:pt>
                <c:pt idx="919">
                  <c:v>-2.8346916056907956</c:v>
                </c:pt>
                <c:pt idx="920">
                  <c:v>-2.7743304159372837</c:v>
                </c:pt>
                <c:pt idx="921">
                  <c:v>-2.7153396038546256</c:v>
                </c:pt>
                <c:pt idx="922">
                  <c:v>-2.6576934622981132</c:v>
                </c:pt>
                <c:pt idx="923">
                  <c:v>-2.6013670516489569</c:v>
                </c:pt>
                <c:pt idx="924">
                  <c:v>-2.5463361749626632</c:v>
                </c:pt>
                <c:pt idx="925">
                  <c:v>-2.4925773540677678</c:v>
                </c:pt>
                <c:pt idx="926">
                  <c:v>-2.4400678065718724</c:v>
                </c:pt>
                <c:pt idx="927">
                  <c:v>-2.3887854237339372</c:v>
                </c:pt>
                <c:pt idx="928">
                  <c:v>-2.338708749163759</c:v>
                </c:pt>
                <c:pt idx="929">
                  <c:v>-2.2898169583113939</c:v>
                </c:pt>
                <c:pt idx="930">
                  <c:v>-2.2420898387109789</c:v>
                </c:pt>
                <c:pt idx="931">
                  <c:v>-2.1955077709451065</c:v>
                </c:pt>
                <c:pt idx="932">
                  <c:v>-2.1500517102973888</c:v>
                </c:pt>
                <c:pt idx="933">
                  <c:v>-2.1057031690623398</c:v>
                </c:pt>
                <c:pt idx="934">
                  <c:v>-2.0624441994831026</c:v>
                </c:pt>
                <c:pt idx="935">
                  <c:v>-2.0202573772888033</c:v>
                </c:pt>
                <c:pt idx="936">
                  <c:v>-1.9791257858046145</c:v>
                </c:pt>
                <c:pt idx="937">
                  <c:v>-1.9390330006087302</c:v>
                </c:pt>
                <c:pt idx="938">
                  <c:v>-1.8999630747115919</c:v>
                </c:pt>
                <c:pt idx="939">
                  <c:v>-1.8619005242337492</c:v>
                </c:pt>
                <c:pt idx="940">
                  <c:v>-1.8248303145597518</c:v>
                </c:pt>
                <c:pt idx="941">
                  <c:v>-1.788737846946364</c:v>
                </c:pt>
                <c:pt idx="942">
                  <c:v>-1.7536089455643902</c:v>
                </c:pt>
                <c:pt idx="943">
                  <c:v>-1.7194298449541412</c:v>
                </c:pt>
                <c:pt idx="944">
                  <c:v>-1.6861871778754807</c:v>
                </c:pt>
                <c:pt idx="945">
                  <c:v>-1.6538679635341151</c:v>
                </c:pt>
                <c:pt idx="946">
                  <c:v>-1.6224595961665511</c:v>
                </c:pt>
                <c:pt idx="947">
                  <c:v>-1.5919498339668536</c:v>
                </c:pt>
                <c:pt idx="948">
                  <c:v>-1.5623267883390144</c:v>
                </c:pt>
                <c:pt idx="949">
                  <c:v>-1.5335789134593931</c:v>
                </c:pt>
                <c:pt idx="950">
                  <c:v>-1.505694996134334</c:v>
                </c:pt>
                <c:pt idx="951">
                  <c:v>-1.4786641459386416</c:v>
                </c:pt>
                <c:pt idx="952">
                  <c:v>-1.4524757856212174</c:v>
                </c:pt>
                <c:pt idx="953">
                  <c:v>-1.427119641764699</c:v>
                </c:pt>
                <c:pt idx="954">
                  <c:v>-1.4025857356865157</c:v>
                </c:pt>
                <c:pt idx="955">
                  <c:v>-1.3788643745693143</c:v>
                </c:pt>
                <c:pt idx="956">
                  <c:v>-1.3559461428092063</c:v>
                </c:pt>
                <c:pt idx="957">
                  <c:v>-1.3338218935708623</c:v>
                </c:pt>
                <c:pt idx="958">
                  <c:v>-1.3124827405389297</c:v>
                </c:pt>
                <c:pt idx="959">
                  <c:v>-1.2919200498557937</c:v>
                </c:pt>
                <c:pt idx="960">
                  <c:v>-1.2721254322361879</c:v>
                </c:pt>
                <c:pt idx="961">
                  <c:v>-1.2530907352496428</c:v>
                </c:pt>
                <c:pt idx="962">
                  <c:v>-1.2348080357622873</c:v>
                </c:pt>
                <c:pt idx="963">
                  <c:v>-1.2172696325299543</c:v>
                </c:pt>
                <c:pt idx="964">
                  <c:v>-1.2004680389350957</c:v>
                </c:pt>
                <c:pt idx="965">
                  <c:v>-1.1843959758604421</c:v>
                </c:pt>
                <c:pt idx="966">
                  <c:v>-1.1690463646928684</c:v>
                </c:pt>
                <c:pt idx="967">
                  <c:v>-1.154412320451403</c:v>
                </c:pt>
                <c:pt idx="968">
                  <c:v>-1.1404871450338001</c:v>
                </c:pt>
                <c:pt idx="969">
                  <c:v>-1.1272643205765878</c:v>
                </c:pt>
                <c:pt idx="970">
                  <c:v>-1.1147375029239968</c:v>
                </c:pt>
                <c:pt idx="971">
                  <c:v>-1.1029005152016371</c:v>
                </c:pt>
                <c:pt idx="972">
                  <c:v>-1.0917473414912868</c:v>
                </c:pt>
                <c:pt idx="973">
                  <c:v>-1.0812721206036278</c:v>
                </c:pt>
                <c:pt idx="974">
                  <c:v>-1.07146913994621</c:v>
                </c:pt>
                <c:pt idx="975">
                  <c:v>-1.0623328294844179</c:v>
                </c:pt>
                <c:pt idx="976">
                  <c:v>-1.0538577557936215</c:v>
                </c:pt>
                <c:pt idx="977">
                  <c:v>-1.0460386162011497</c:v>
                </c:pt>
                <c:pt idx="978">
                  <c:v>-1.038870233017138</c:v>
                </c:pt>
                <c:pt idx="979">
                  <c:v>-1.0323475478536934</c:v>
                </c:pt>
                <c:pt idx="980">
                  <c:v>-1.0264656160321994</c:v>
                </c:pt>
                <c:pt idx="981">
                  <c:v>-1.0212196010789485</c:v>
                </c:pt>
                <c:pt idx="982">
                  <c:v>-1.0166047693096127</c:v>
                </c:pt>
                <c:pt idx="983">
                  <c:v>-1.0126164845033583</c:v>
                </c:pt>
                <c:pt idx="984">
                  <c:v>-1.0092502026677079</c:v>
                </c:pt>
                <c:pt idx="985">
                  <c:v>-1.006501466895469</c:v>
                </c:pt>
                <c:pt idx="986">
                  <c:v>-1.0043659023152796</c:v>
                </c:pt>
                <c:pt idx="987">
                  <c:v>-1.0028392111374882</c:v>
                </c:pt>
                <c:pt idx="988">
                  <c:v>-1.0019171677972372</c:v>
                </c:pt>
                <c:pt idx="989">
                  <c:v>-1.0015956141967177</c:v>
                </c:pt>
                <c:pt idx="990">
                  <c:v>-1.0018704550486448</c:v>
                </c:pt>
                <c:pt idx="991">
                  <c:v>-1.0027376533230437</c:v>
                </c:pt>
                <c:pt idx="992">
                  <c:v>-1.004193225799441</c:v>
                </c:pt>
                <c:pt idx="993">
                  <c:v>-1.0062332387265278</c:v>
                </c:pt>
                <c:pt idx="994">
                  <c:v>-1.0088538035913124</c:v>
                </c:pt>
                <c:pt idx="995">
                  <c:v>-1.0120510729996905</c:v>
                </c:pt>
                <c:pt idx="996">
                  <c:v>-1.0158212366702521</c:v>
                </c:pt>
                <c:pt idx="997">
                  <c:v>-1.0201605175430033</c:v>
                </c:pt>
                <c:pt idx="998">
                  <c:v>-1.0250651680045335</c:v>
                </c:pt>
                <c:pt idx="999">
                  <c:v>-1.0305314662309766</c:v>
                </c:pt>
                <c:pt idx="1000">
                  <c:v>-1.0365557126499165</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Calculs!$J$4:$J$1004</c:f>
              <c:numCache>
                <c:formatCode>0.00</c:formatCode>
                <c:ptCount val="1001"/>
                <c:pt idx="0">
                  <c:v>0</c:v>
                </c:pt>
                <c:pt idx="1">
                  <c:v>0</c:v>
                </c:pt>
                <c:pt idx="2">
                  <c:v>1.6080661865225683E-4</c:v>
                </c:pt>
                <c:pt idx="3">
                  <c:v>8.3228455394329193E-4</c:v>
                </c:pt>
                <c:pt idx="4">
                  <c:v>2.3926906529286693E-3</c:v>
                </c:pt>
                <c:pt idx="5">
                  <c:v>5.1476838067296762E-3</c:v>
                </c:pt>
                <c:pt idx="6">
                  <c:v>9.2573568601109005E-3</c:v>
                </c:pt>
                <c:pt idx="7">
                  <c:v>1.4809023541683435E-2</c:v>
                </c:pt>
                <c:pt idx="8">
                  <c:v>2.1890096423310731E-2</c:v>
                </c:pt>
                <c:pt idx="9">
                  <c:v>3.0568247627811324E-2</c:v>
                </c:pt>
                <c:pt idx="10">
                  <c:v>4.0871533605907936E-2</c:v>
                </c:pt>
                <c:pt idx="11">
                  <c:v>5.2808188179862922E-2</c:v>
                </c:pt>
                <c:pt idx="12">
                  <c:v>6.63864492233881E-2</c:v>
                </c:pt>
                <c:pt idx="13">
                  <c:v>8.16145586153883E-2</c:v>
                </c:pt>
                <c:pt idx="14">
                  <c:v>9.8500762193153998E-2</c:v>
                </c:pt>
                <c:pt idx="15">
                  <c:v>0.11705330970500193</c:v>
                </c:pt>
                <c:pt idx="16">
                  <c:v>0.1372804547623627</c:v>
                </c:pt>
                <c:pt idx="17">
                  <c:v>0.15919045479131422</c:v>
                </c:pt>
                <c:pt idx="18">
                  <c:v>0.18279157098356003</c:v>
                </c:pt>
                <c:pt idx="19">
                  <c:v>0.20809206824685145</c:v>
                </c:pt>
                <c:pt idx="20">
                  <c:v>0.23510021515485252</c:v>
                </c:pt>
                <c:pt idx="21">
                  <c:v>0.26382289470065923</c:v>
                </c:pt>
                <c:pt idx="22">
                  <c:v>0.29426351768210829</c:v>
                </c:pt>
                <c:pt idx="23">
                  <c:v>0.32642340731772723</c:v>
                </c:pt>
                <c:pt idx="24">
                  <c:v>0.36030388124494517</c:v>
                </c:pt>
                <c:pt idx="25">
                  <c:v>0.39590625149781145</c:v>
                </c:pt>
                <c:pt idx="26">
                  <c:v>0.43323182448477754</c:v>
                </c:pt>
                <c:pt idx="27">
                  <c:v>0.47228190096654271</c:v>
                </c:pt>
                <c:pt idx="28">
                  <c:v>0.51305777603396496</c:v>
                </c:pt>
                <c:pt idx="29">
                  <c:v>0.55556073908603731</c:v>
                </c:pt>
                <c:pt idx="30">
                  <c:v>0.59979207380793087</c:v>
                </c:pt>
                <c:pt idx="31">
                  <c:v>0.64575305814910544</c:v>
                </c:pt>
                <c:pt idx="32">
                  <c:v>0.69344496430148839</c:v>
                </c:pt>
                <c:pt idx="33">
                  <c:v>0.74286905867772235</c:v>
                </c:pt>
                <c:pt idx="34">
                  <c:v>0.79402660188948371</c:v>
                </c:pt>
                <c:pt idx="35">
                  <c:v>0.8469188487258712</c:v>
                </c:pt>
                <c:pt idx="36">
                  <c:v>0.90154704813186692</c:v>
                </c:pt>
                <c:pt idx="37">
                  <c:v>0.95791244318686963</c:v>
                </c:pt>
                <c:pt idx="38">
                  <c:v>1.0160162710833014</c:v>
                </c:pt>
                <c:pt idx="39">
                  <c:v>1.0758597631052891</c:v>
                </c:pt>
                <c:pt idx="40">
                  <c:v>1.1375668263422012</c:v>
                </c:pt>
                <c:pt idx="41">
                  <c:v>1.201265201035723</c:v>
                </c:pt>
                <c:pt idx="42">
                  <c:v>1.2669637546883101</c:v>
                </c:pt>
                <c:pt idx="43">
                  <c:v>1.3346712415320285</c:v>
                </c:pt>
                <c:pt idx="44">
                  <c:v>1.4043962474573402</c:v>
                </c:pt>
                <c:pt idx="45">
                  <c:v>1.4761471976216929</c:v>
                </c:pt>
                <c:pt idx="46">
                  <c:v>1.5499326787954384</c:v>
                </c:pt>
                <c:pt idx="47">
                  <c:v>1.6257615275377773</c:v>
                </c:pt>
                <c:pt idx="48">
                  <c:v>1.7036425240512161</c:v>
                </c:pt>
                <c:pt idx="49">
                  <c:v>1.7835843192078877</c:v>
                </c:pt>
                <c:pt idx="50">
                  <c:v>1.8655954397100327</c:v>
                </c:pt>
                <c:pt idx="51">
                  <c:v>1.9496842929255582</c:v>
                </c:pt>
                <c:pt idx="52">
                  <c:v>2.0358591714253347</c:v>
                </c:pt>
                <c:pt idx="53">
                  <c:v>2.1241282572461957</c:v>
                </c:pt>
                <c:pt idx="54">
                  <c:v>2.2144996259012402</c:v>
                </c:pt>
                <c:pt idx="55">
                  <c:v>2.3069812501569378</c:v>
                </c:pt>
                <c:pt idx="56">
                  <c:v>2.4015810035946887</c:v>
                </c:pt>
                <c:pt idx="57">
                  <c:v>2.4983066639728402</c:v>
                </c:pt>
                <c:pt idx="58">
                  <c:v>2.5971659164037026</c:v>
                </c:pt>
                <c:pt idx="59">
                  <c:v>2.6981663563587954</c:v>
                </c:pt>
                <c:pt idx="60">
                  <c:v>2.8013154925143899</c:v>
                </c:pt>
                <c:pt idx="61">
                  <c:v>2.9066207494483756</c:v>
                </c:pt>
                <c:pt idx="62">
                  <c:v>3.0140894701985257</c:v>
                </c:pt>
                <c:pt idx="63">
                  <c:v>3.1237289186914059</c:v>
                </c:pt>
                <c:pt idx="64">
                  <c:v>3.2355462820504073</c:v>
                </c:pt>
                <c:pt idx="65">
                  <c:v>3.3495486727906938</c:v>
                </c:pt>
                <c:pt idx="66">
                  <c:v>3.4657431309082396</c:v>
                </c:pt>
                <c:pt idx="67">
                  <c:v>3.5841366258695686</c:v>
                </c:pt>
                <c:pt idx="68">
                  <c:v>3.704736058508296</c:v>
                </c:pt>
                <c:pt idx="69">
                  <c:v>3.8275534704506349</c:v>
                </c:pt>
                <c:pt idx="70">
                  <c:v>3.9526083117432571</c:v>
                </c:pt>
                <c:pt idx="71">
                  <c:v>4.0799222744591308</c:v>
                </c:pt>
                <c:pt idx="72">
                  <c:v>4.2095170671093731</c:v>
                </c:pt>
                <c:pt idx="73">
                  <c:v>4.341414414512454</c:v>
                </c:pt>
                <c:pt idx="74">
                  <c:v>4.4756360576653886</c:v>
                </c:pt>
                <c:pt idx="75">
                  <c:v>4.6122037536167326</c:v>
                </c:pt>
                <c:pt idx="76">
                  <c:v>4.7511392753411856</c:v>
                </c:pt>
                <c:pt idx="77">
                  <c:v>4.8924546484056695</c:v>
                </c:pt>
                <c:pt idx="78">
                  <c:v>5.0361479081387284</c:v>
                </c:pt>
                <c:pt idx="79">
                  <c:v>5.1822127947459027</c:v>
                </c:pt>
                <c:pt idx="80">
                  <c:v>5.3306429293375519</c:v>
                </c:pt>
                <c:pt idx="81">
                  <c:v>5.4814318165783256</c:v>
                </c:pt>
                <c:pt idx="82">
                  <c:v>5.6345728472253356</c:v>
                </c:pt>
                <c:pt idx="83">
                  <c:v>5.7900593005617926</c:v>
                </c:pt>
                <c:pt idx="84">
                  <c:v>5.9478843467323781</c:v>
                </c:pt>
                <c:pt idx="85">
                  <c:v>6.1080410489861459</c:v>
                </c:pt>
                <c:pt idx="86">
                  <c:v>6.2705237122465123</c:v>
                </c:pt>
                <c:pt idx="87">
                  <c:v>6.4353332883934717</c:v>
                </c:pt>
                <c:pt idx="88">
                  <c:v>6.6024760612384696</c:v>
                </c:pt>
                <c:pt idx="89">
                  <c:v>6.7719582740490587</c:v>
                </c:pt>
                <c:pt idx="90">
                  <c:v>6.943786130258097</c:v>
                </c:pt>
                <c:pt idx="91">
                  <c:v>7.1179657941477554</c:v>
                </c:pt>
                <c:pt idx="92">
                  <c:v>7.2945033915094353</c:v>
                </c:pt>
                <c:pt idx="93">
                  <c:v>7.473405010280656</c:v>
                </c:pt>
                <c:pt idx="94">
                  <c:v>7.6546767011599073</c:v>
                </c:pt>
                <c:pt idx="95">
                  <c:v>7.8383244782004038</c:v>
                </c:pt>
                <c:pt idx="96">
                  <c:v>8.0243543193836349</c:v>
                </c:pt>
                <c:pt idx="97">
                  <c:v>8.2127721671735632</c:v>
                </c:pt>
                <c:pt idx="98">
                  <c:v>8.4035839290522656</c:v>
                </c:pt>
                <c:pt idx="99">
                  <c:v>8.5967954780377749</c:v>
                </c:pt>
                <c:pt idx="100">
                  <c:v>8.7924126531848632</c:v>
                </c:pt>
                <c:pt idx="101">
                  <c:v>8.9904412600694315</c:v>
                </c:pt>
                <c:pt idx="102">
                  <c:v>9.1908870712571744</c:v>
                </c:pt>
                <c:pt idx="103">
                  <c:v>9.3937558267571344</c:v>
                </c:pt>
                <c:pt idx="104">
                  <c:v>9.5990532344607331</c:v>
                </c:pt>
                <c:pt idx="105">
                  <c:v>9.8067849705668539</c:v>
                </c:pt>
                <c:pt idx="106">
                  <c:v>10.016956679993497</c:v>
                </c:pt>
                <c:pt idx="107">
                  <c:v>10.229573976776527</c:v>
                </c:pt>
                <c:pt idx="108">
                  <c:v>10.444642444456001</c:v>
                </c:pt>
                <c:pt idx="109">
                  <c:v>10.662167636450533</c:v>
                </c:pt>
                <c:pt idx="110">
                  <c:v>10.882155076420146</c:v>
                </c:pt>
                <c:pt idx="111">
                  <c:v>11.104610258618022</c:v>
                </c:pt>
                <c:pt idx="112">
                  <c:v>11.329538648231583</c:v>
                </c:pt>
                <c:pt idx="113">
                  <c:v>11.55694568171325</c:v>
                </c:pt>
                <c:pt idx="114">
                  <c:v>11.786836767101279</c:v>
                </c:pt>
                <c:pt idx="115">
                  <c:v>12.019217284331013</c:v>
                </c:pt>
                <c:pt idx="116">
                  <c:v>12.254092585536892</c:v>
                </c:pt>
                <c:pt idx="117">
                  <c:v>12.491467995345543</c:v>
                </c:pt>
                <c:pt idx="118">
                  <c:v>12.731348811160263</c:v>
                </c:pt>
                <c:pt idx="119">
                  <c:v>12.973740303437182</c:v>
                </c:pt>
                <c:pt idx="120">
                  <c:v>13.218647715953409</c:v>
                </c:pt>
                <c:pt idx="121">
                  <c:v>13.466076266067402</c:v>
                </c:pt>
                <c:pt idx="122">
                  <c:v>13.716031144971859</c:v>
                </c:pt>
                <c:pt idx="123">
                  <c:v>13.968517517939359</c:v>
                </c:pt>
                <c:pt idx="124">
                  <c:v>14.223540524560992</c:v>
                </c:pt>
                <c:pt idx="125">
                  <c:v>14.481105278978225</c:v>
                </c:pt>
                <c:pt idx="126">
                  <c:v>14.741216870108209</c:v>
                </c:pt>
                <c:pt idx="127">
                  <c:v>15.003880361862745</c:v>
                </c:pt>
                <c:pt idx="128">
                  <c:v>15.269100793361119</c:v>
                </c:pt>
                <c:pt idx="129">
                  <c:v>15.536883179137005</c:v>
                </c:pt>
                <c:pt idx="130">
                  <c:v>15.807232509339608</c:v>
                </c:pt>
                <c:pt idx="131">
                  <c:v>16.080153749929242</c:v>
                </c:pt>
                <c:pt idx="132">
                  <c:v>16.355651842867527</c:v>
                </c:pt>
                <c:pt idx="133">
                  <c:v>16.633731706302353</c:v>
                </c:pt>
                <c:pt idx="134">
                  <c:v>16.914398234747786</c:v>
                </c:pt>
                <c:pt idx="135">
                  <c:v>17.197656299259062</c:v>
                </c:pt>
                <c:pt idx="136">
                  <c:v>17.483510747602853</c:v>
                </c:pt>
                <c:pt idx="137">
                  <c:v>17.771966404422887</c:v>
                </c:pt>
                <c:pt idx="138">
                  <c:v>18.063028071401131</c:v>
                </c:pt>
                <c:pt idx="139">
                  <c:v>18.356700527414628</c:v>
                </c:pt>
                <c:pt idx="140">
                  <c:v>18.652988528688127</c:v>
                </c:pt>
                <c:pt idx="141">
                  <c:v>18.951896808942635</c:v>
                </c:pt>
                <c:pt idx="142">
                  <c:v>19.253430079540028</c:v>
                </c:pt>
                <c:pt idx="143">
                  <c:v>19.557593029623799</c:v>
                </c:pt>
                <c:pt idx="144">
                  <c:v>19.8643903262561</c:v>
                </c:pt>
                <c:pt idx="145">
                  <c:v>20.173826614551146</c:v>
                </c:pt>
                <c:pt idx="146">
                  <c:v>20.48590651780513</c:v>
                </c:pt>
                <c:pt idx="147">
                  <c:v>20.800634637622704</c:v>
                </c:pt>
                <c:pt idx="148">
                  <c:v>21.11801555404017</c:v>
                </c:pt>
                <c:pt idx="149">
                  <c:v>21.43805382564544</c:v>
                </c:pt>
                <c:pt idx="150">
                  <c:v>21.760753989694877</c:v>
                </c:pt>
                <c:pt idx="151">
                  <c:v>22.086120562227087</c:v>
                </c:pt>
                <c:pt idx="152">
                  <c:v>22.414158038173795</c:v>
                </c:pt>
                <c:pt idx="153">
                  <c:v>22.744870891467823</c:v>
                </c:pt>
                <c:pt idx="154">
                  <c:v>23.078263575148288</c:v>
                </c:pt>
                <c:pt idx="155">
                  <c:v>23.414340521463107</c:v>
                </c:pt>
                <c:pt idx="156">
                  <c:v>23.753106141968864</c:v>
                </c:pt>
                <c:pt idx="157">
                  <c:v>24.094564827628115</c:v>
                </c:pt>
                <c:pt idx="158">
                  <c:v>24.438720948904212</c:v>
                </c:pt>
                <c:pt idx="159">
                  <c:v>24.785578855853704</c:v>
                </c:pt>
                <c:pt idx="160">
                  <c:v>25.135142878216389</c:v>
                </c:pt>
                <c:pt idx="161">
                  <c:v>25.487417325503081</c:v>
                </c:pt>
                <c:pt idx="162">
                  <c:v>25.842406487081163</c:v>
                </c:pt>
                <c:pt idx="163">
                  <c:v>26.200114632257954</c:v>
                </c:pt>
                <c:pt idx="164">
                  <c:v>26.560546010361993</c:v>
                </c:pt>
                <c:pt idx="165">
                  <c:v>26.923704850822268</c:v>
                </c:pt>
                <c:pt idx="166">
                  <c:v>27.289595363245464</c:v>
                </c:pt>
                <c:pt idx="167">
                  <c:v>27.658221737491253</c:v>
                </c:pt>
                <c:pt idx="168">
                  <c:v>28.02958814374573</c:v>
                </c:pt>
                <c:pt idx="169">
                  <c:v>28.403698732592993</c:v>
                </c:pt>
                <c:pt idx="170">
                  <c:v>28.780557635084946</c:v>
                </c:pt>
                <c:pt idx="171">
                  <c:v>29.160168962809376</c:v>
                </c:pt>
                <c:pt idx="172">
                  <c:v>29.542536807956328</c:v>
                </c:pt>
                <c:pt idx="173">
                  <c:v>29.92766524338284</c:v>
                </c:pt>
                <c:pt idx="174">
                  <c:v>30.315558322676097</c:v>
                </c:pt>
                <c:pt idx="175">
                  <c:v>30.70622008021499</c:v>
                </c:pt>
                <c:pt idx="176">
                  <c:v>31.099654531230208</c:v>
                </c:pt>
                <c:pt idx="177">
                  <c:v>31.495865671862816</c:v>
                </c:pt>
                <c:pt idx="178">
                  <c:v>31.894857479221429</c:v>
                </c:pt>
                <c:pt idx="179">
                  <c:v>32.296633911437972</c:v>
                </c:pt>
                <c:pt idx="180">
                  <c:v>32.701198907722087</c:v>
                </c:pt>
                <c:pt idx="181">
                  <c:v>33.108556388414222</c:v>
                </c:pt>
                <c:pt idx="182">
                  <c:v>33.518710255037426</c:v>
                </c:pt>
                <c:pt idx="183">
                  <c:v>33.931664390347912</c:v>
                </c:pt>
                <c:pt idx="184">
                  <c:v>34.34742265838436</c:v>
                </c:pt>
                <c:pt idx="185">
                  <c:v>34.765988904516092</c:v>
                </c:pt>
                <c:pt idx="186">
                  <c:v>35.187366955490049</c:v>
                </c:pt>
                <c:pt idx="187">
                  <c:v>35.611560619476656</c:v>
                </c:pt>
                <c:pt idx="188">
                  <c:v>36.03857368611461</c:v>
                </c:pt>
                <c:pt idx="189">
                  <c:v>36.468409926554592</c:v>
                </c:pt>
                <c:pt idx="190">
                  <c:v>36.901073093501957</c:v>
                </c:pt>
                <c:pt idx="191">
                  <c:v>37.336566921258381</c:v>
                </c:pt>
                <c:pt idx="192">
                  <c:v>37.774895125762605</c:v>
                </c:pt>
                <c:pt idx="193">
                  <c:v>38.216061404630146</c:v>
                </c:pt>
                <c:pt idx="194">
                  <c:v>38.660069437192135</c:v>
                </c:pt>
                <c:pt idx="195">
                  <c:v>39.106922884533226</c:v>
                </c:pt>
                <c:pt idx="196">
                  <c:v>39.556625389528669</c:v>
                </c:pt>
                <c:pt idx="197">
                  <c:v>40.009180576880489</c:v>
                </c:pt>
                <c:pt idx="198">
                  <c:v>40.464592053152842</c:v>
                </c:pt>
                <c:pt idx="199">
                  <c:v>40.922863406806606</c:v>
                </c:pt>
                <c:pt idx="200">
                  <c:v>41.383998208233145</c:v>
                </c:pt>
                <c:pt idx="201">
                  <c:v>41.848000009787349</c:v>
                </c:pt>
                <c:pt idx="202">
                  <c:v>42.314872345819907</c:v>
                </c:pt>
                <c:pt idx="203">
                  <c:v>42.784618732708878</c:v>
                </c:pt>
                <c:pt idx="204">
                  <c:v>43.257242668890569</c:v>
                </c:pt>
                <c:pt idx="205">
                  <c:v>43.732747634889712</c:v>
                </c:pt>
                <c:pt idx="206">
                  <c:v>44.211137093349031</c:v>
                </c:pt>
                <c:pt idx="207">
                  <c:v>44.692414489058109</c:v>
                </c:pt>
                <c:pt idx="208">
                  <c:v>45.1765832489817</c:v>
                </c:pt>
                <c:pt idx="209">
                  <c:v>45.66364678228738</c:v>
                </c:pt>
                <c:pt idx="210">
                  <c:v>46.153608480372661</c:v>
                </c:pt>
                <c:pt idx="211">
                  <c:v>46.646471716891519</c:v>
                </c:pt>
                <c:pt idx="212">
                  <c:v>47.142239847780367</c:v>
                </c:pt>
                <c:pt idx="213">
                  <c:v>47.640916211283518</c:v>
                </c:pt>
                <c:pt idx="214">
                  <c:v>48.1425041279781</c:v>
                </c:pt>
                <c:pt idx="215">
                  <c:v>48.647006900798509</c:v>
                </c:pt>
                <c:pt idx="216">
                  <c:v>49.154427815060352</c:v>
                </c:pt>
                <c:pt idx="217">
                  <c:v>49.664770138483917</c:v>
                </c:pt>
                <c:pt idx="218">
                  <c:v>50.178037121217223</c:v>
                </c:pt>
                <c:pt idx="219">
                  <c:v>50.69423199585858</c:v>
                </c:pt>
                <c:pt idx="220">
                  <c:v>51.213357977478772</c:v>
                </c:pt>
                <c:pt idx="221">
                  <c:v>51.735418263642813</c:v>
                </c:pt>
                <c:pt idx="222">
                  <c:v>52.26041603443128</c:v>
                </c:pt>
                <c:pt idx="223">
                  <c:v>52.788354452461299</c:v>
                </c:pt>
                <c:pt idx="224">
                  <c:v>53.319236662907151</c:v>
                </c:pt>
                <c:pt idx="225">
                  <c:v>53.853065793520493</c:v>
                </c:pt>
                <c:pt idx="226">
                  <c:v>54.389844954650286</c:v>
                </c:pt>
                <c:pt idx="227">
                  <c:v>54.929577239262329</c:v>
                </c:pt>
                <c:pt idx="228">
                  <c:v>55.472265722958525</c:v>
                </c:pt>
                <c:pt idx="229">
                  <c:v>56.017913463995811</c:v>
                </c:pt>
                <c:pt idx="230">
                  <c:v>56.566523503304794</c:v>
                </c:pt>
                <c:pt idx="231">
                  <c:v>57.118098864508092</c:v>
                </c:pt>
                <c:pt idx="232">
                  <c:v>57.672642553938445</c:v>
                </c:pt>
                <c:pt idx="233">
                  <c:v>58.230157560656494</c:v>
                </c:pt>
                <c:pt idx="234">
                  <c:v>58.790646856468364</c:v>
                </c:pt>
                <c:pt idx="235">
                  <c:v>59.354113395942974</c:v>
                </c:pt>
                <c:pt idx="236">
                  <c:v>59.920560116429129</c:v>
                </c:pt>
                <c:pt idx="237">
                  <c:v>60.489989938072377</c:v>
                </c:pt>
                <c:pt idx="238">
                  <c:v>61.062405763831663</c:v>
                </c:pt>
                <c:pt idx="239">
                  <c:v>61.637810479495791</c:v>
                </c:pt>
                <c:pt idx="240">
                  <c:v>62.216206953699668</c:v>
                </c:pt>
                <c:pt idx="241">
                  <c:v>62.797598037940382</c:v>
                </c:pt>
                <c:pt idx="242">
                  <c:v>63.381986566593099</c:v>
                </c:pt>
                <c:pt idx="243">
                  <c:v>63.969375356926797</c:v>
                </c:pt>
                <c:pt idx="244">
                  <c:v>64.559773662734784</c:v>
                </c:pt>
                <c:pt idx="245">
                  <c:v>65.153197184769766</c:v>
                </c:pt>
                <c:pt idx="246">
                  <c:v>65.749661627470488</c:v>
                </c:pt>
                <c:pt idx="247">
                  <c:v>66.349182698790116</c:v>
                </c:pt>
                <c:pt idx="248">
                  <c:v>66.951776110024085</c:v>
                </c:pt>
                <c:pt idx="249">
                  <c:v>67.557457575637414</c:v>
                </c:pt>
                <c:pt idx="250">
                  <c:v>68.166242813091557</c:v>
                </c:pt>
                <c:pt idx="251">
                  <c:v>68.778147542670695</c:v>
                </c:pt>
                <c:pt idx="252">
                  <c:v>69.393187487307586</c:v>
                </c:pt>
                <c:pt idx="253">
                  <c:v>70.011374783929639</c:v>
                </c:pt>
                <c:pt idx="254">
                  <c:v>70.632714384993221</c:v>
                </c:pt>
                <c:pt idx="255">
                  <c:v>71.257207635395247</c:v>
                </c:pt>
                <c:pt idx="256">
                  <c:v>71.884855859307777</c:v>
                </c:pt>
                <c:pt idx="257">
                  <c:v>72.515660360225894</c:v>
                </c:pt>
                <c:pt idx="258">
                  <c:v>73.149622421015408</c:v>
                </c:pt>
                <c:pt idx="259">
                  <c:v>73.78674330396035</c:v>
                </c:pt>
                <c:pt idx="260">
                  <c:v>74.427024250810362</c:v>
                </c:pt>
                <c:pt idx="261">
                  <c:v>75.070466482827896</c:v>
                </c:pt>
                <c:pt idx="262">
                  <c:v>75.717071200835335</c:v>
                </c:pt>
                <c:pt idx="263">
                  <c:v>76.366839585261914</c:v>
                </c:pt>
                <c:pt idx="264">
                  <c:v>77.01977279619058</c:v>
                </c:pt>
                <c:pt idx="265">
                  <c:v>77.675871973404725</c:v>
                </c:pt>
                <c:pt idx="266">
                  <c:v>78.33513823643483</c:v>
                </c:pt>
                <c:pt idx="267">
                  <c:v>78.997572684604975</c:v>
                </c:pt>
                <c:pt idx="268">
                  <c:v>79.663176397079326</c:v>
                </c:pt>
                <c:pt idx="269">
                  <c:v>80.331950432908528</c:v>
                </c:pt>
                <c:pt idx="270">
                  <c:v>81.00389583107598</c:v>
                </c:pt>
                <c:pt idx="271">
                  <c:v>81.679013610544118</c:v>
                </c:pt>
                <c:pt idx="272">
                  <c:v>82.35730477030063</c:v>
                </c:pt>
                <c:pt idx="273">
                  <c:v>83.038770289404596</c:v>
                </c:pt>
                <c:pt idx="274">
                  <c:v>83.723411127032591</c:v>
                </c:pt>
                <c:pt idx="275">
                  <c:v>84.411228222524826</c:v>
                </c:pt>
                <c:pt idx="276">
                  <c:v>85.102222495431178</c:v>
                </c:pt>
                <c:pt idx="277">
                  <c:v>85.796394668512548</c:v>
                </c:pt>
                <c:pt idx="278">
                  <c:v>86.493745001686491</c:v>
                </c:pt>
                <c:pt idx="279">
                  <c:v>87.194273468519839</c:v>
                </c:pt>
                <c:pt idx="280">
                  <c:v>87.897980021786822</c:v>
                </c:pt>
                <c:pt idx="281">
                  <c:v>88.604864593535083</c:v>
                </c:pt>
                <c:pt idx="282">
                  <c:v>89.314927095151489</c:v>
                </c:pt>
                <c:pt idx="283">
                  <c:v>90.028167417428023</c:v>
                </c:pt>
                <c:pt idx="284">
                  <c:v>90.744585430627595</c:v>
                </c:pt>
                <c:pt idx="285">
                  <c:v>91.46418098454987</c:v>
                </c:pt>
                <c:pt idx="286">
                  <c:v>92.186953908597033</c:v>
                </c:pt>
                <c:pt idx="287">
                  <c:v>92.912904011839544</c:v>
                </c:pt>
                <c:pt idx="288">
                  <c:v>93.64203108308196</c:v>
                </c:pt>
                <c:pt idx="289">
                  <c:v>94.374334890928665</c:v>
                </c:pt>
                <c:pt idx="290">
                  <c:v>95.109815183849662</c:v>
                </c:pt>
                <c:pt idx="291">
                  <c:v>95.848471690246342</c:v>
                </c:pt>
                <c:pt idx="292">
                  <c:v>96.590304118517309</c:v>
                </c:pt>
                <c:pt idx="293">
                  <c:v>97.335312157124179</c:v>
                </c:pt>
                <c:pt idx="294">
                  <c:v>98.083495474657425</c:v>
                </c:pt>
                <c:pt idx="295">
                  <c:v>98.834853719902256</c:v>
                </c:pt>
                <c:pt idx="296">
                  <c:v>99.589386521904501</c:v>
                </c:pt>
                <c:pt idx="297">
                  <c:v>100.34709349003657</c:v>
                </c:pt>
                <c:pt idx="298">
                  <c:v>101.1079742140634</c:v>
                </c:pt>
                <c:pt idx="299">
                  <c:v>101.87202826420855</c:v>
                </c:pt>
                <c:pt idx="300">
                  <c:v>102.63925519122017</c:v>
                </c:pt>
                <c:pt idx="301">
                  <c:v>103.40965452643721</c:v>
                </c:pt>
                <c:pt idx="302">
                  <c:v>104.18322578185555</c:v>
                </c:pt>
                <c:pt idx="303">
                  <c:v>104.95996845019427</c:v>
                </c:pt>
                <c:pt idx="304">
                  <c:v>105.7398820049619</c:v>
                </c:pt>
                <c:pt idx="305">
                  <c:v>106.52296590052283</c:v>
                </c:pt>
                <c:pt idx="306">
                  <c:v>107.30921957216373</c:v>
                </c:pt>
                <c:pt idx="307">
                  <c:v>108.09864243616001</c:v>
                </c:pt>
                <c:pt idx="308">
                  <c:v>108.89123388984244</c:v>
                </c:pt>
                <c:pt idx="309">
                  <c:v>109.68699331166381</c:v>
                </c:pt>
                <c:pt idx="310">
                  <c:v>110.4859200612656</c:v>
                </c:pt>
                <c:pt idx="311">
                  <c:v>111.28801347954483</c:v>
                </c:pt>
                <c:pt idx="312">
                  <c:v>112.09327288872095</c:v>
                </c:pt>
                <c:pt idx="313">
                  <c:v>112.9016975924028</c:v>
                </c:pt>
                <c:pt idx="314">
                  <c:v>113.71328687565573</c:v>
                </c:pt>
                <c:pt idx="315">
                  <c:v>114.52804000506868</c:v>
                </c:pt>
                <c:pt idx="316">
                  <c:v>115.34595622882148</c:v>
                </c:pt>
                <c:pt idx="317">
                  <c:v>116.1670347767522</c:v>
                </c:pt>
                <c:pt idx="318">
                  <c:v>116.99127486042457</c:v>
                </c:pt>
                <c:pt idx="319">
                  <c:v>117.81867567319549</c:v>
                </c:pt>
                <c:pt idx="320">
                  <c:v>118.64923639028271</c:v>
                </c:pt>
                <c:pt idx="321">
                  <c:v>119.48295616883257</c:v>
                </c:pt>
                <c:pt idx="322">
                  <c:v>120.31983414798781</c:v>
                </c:pt>
                <c:pt idx="323">
                  <c:v>121.15986944895552</c:v>
                </c:pt>
                <c:pt idx="324">
                  <c:v>122.00306117507523</c:v>
                </c:pt>
                <c:pt idx="325">
                  <c:v>122.849408411887</c:v>
                </c:pt>
                <c:pt idx="326">
                  <c:v>123.69891022719972</c:v>
                </c:pt>
                <c:pt idx="327">
                  <c:v>124.55156567115949</c:v>
                </c:pt>
                <c:pt idx="328">
                  <c:v>125.40737377631811</c:v>
                </c:pt>
                <c:pt idx="329">
                  <c:v>126.26633355770163</c:v>
                </c:pt>
                <c:pt idx="330">
                  <c:v>127.12844401287909</c:v>
                </c:pt>
                <c:pt idx="331">
                  <c:v>127.99370412203132</c:v>
                </c:pt>
                <c:pt idx="332">
                  <c:v>128.8621128480199</c:v>
                </c:pt>
                <c:pt idx="333">
                  <c:v>129.7336691364562</c:v>
                </c:pt>
                <c:pt idx="334">
                  <c:v>130.60837191577048</c:v>
                </c:pt>
                <c:pt idx="335">
                  <c:v>131.48622009728126</c:v>
                </c:pt>
                <c:pt idx="336">
                  <c:v>132.36721257526463</c:v>
                </c:pt>
                <c:pt idx="337">
                  <c:v>133.25134822702384</c:v>
                </c:pt>
                <c:pt idx="338">
                  <c:v>134.13862591295884</c:v>
                </c:pt>
                <c:pt idx="339">
                  <c:v>135.02904447663607</c:v>
                </c:pt>
                <c:pt idx="340">
                  <c:v>135.92260274485835</c:v>
                </c:pt>
                <c:pt idx="341">
                  <c:v>136.81929952773478</c:v>
                </c:pt>
                <c:pt idx="342">
                  <c:v>137.7191336187509</c:v>
                </c:pt>
                <c:pt idx="343">
                  <c:v>138.62210379483886</c:v>
                </c:pt>
                <c:pt idx="344">
                  <c:v>139.52820897052754</c:v>
                </c:pt>
                <c:pt idx="345">
                  <c:v>140.43744958628713</c:v>
                </c:pt>
                <c:pt idx="346">
                  <c:v>141.34982745572242</c:v>
                </c:pt>
                <c:pt idx="347">
                  <c:v>142.26534437854255</c:v>
                </c:pt>
                <c:pt idx="348">
                  <c:v>143.18400214057374</c:v>
                </c:pt>
                <c:pt idx="349">
                  <c:v>144.1058025137722</c:v>
                </c:pt>
                <c:pt idx="350">
                  <c:v>145.03074725623739</c:v>
                </c:pt>
                <c:pt idx="351">
                  <c:v>145.95883811222538</c:v>
                </c:pt>
                <c:pt idx="352">
                  <c:v>146.89007681216253</c:v>
                </c:pt>
                <c:pt idx="353">
                  <c:v>147.82446507265939</c:v>
                </c:pt>
                <c:pt idx="354">
                  <c:v>148.76200459652486</c:v>
                </c:pt>
                <c:pt idx="355">
                  <c:v>149.70269707278052</c:v>
                </c:pt>
                <c:pt idx="356">
                  <c:v>150.64654417667532</c:v>
                </c:pt>
                <c:pt idx="357">
                  <c:v>151.59354756970038</c:v>
                </c:pt>
                <c:pt idx="358">
                  <c:v>152.5437088996041</c:v>
                </c:pt>
                <c:pt idx="359">
                  <c:v>153.49702980040755</c:v>
                </c:pt>
                <c:pt idx="360">
                  <c:v>154.45351189242001</c:v>
                </c:pt>
                <c:pt idx="361">
                  <c:v>155.41315678225482</c:v>
                </c:pt>
                <c:pt idx="362">
                  <c:v>156.37596606284546</c:v>
                </c:pt>
                <c:pt idx="363">
                  <c:v>157.34194131346183</c:v>
                </c:pt>
                <c:pt idx="364">
                  <c:v>158.31108409972688</c:v>
                </c:pt>
                <c:pt idx="365">
                  <c:v>159.28339597363336</c:v>
                </c:pt>
                <c:pt idx="366">
                  <c:v>160.25887847356091</c:v>
                </c:pt>
                <c:pt idx="367">
                  <c:v>161.23753312429338</c:v>
                </c:pt>
                <c:pt idx="368">
                  <c:v>162.2193614370363</c:v>
                </c:pt>
                <c:pt idx="369">
                  <c:v>163.20436490943476</c:v>
                </c:pt>
                <c:pt idx="370">
                  <c:v>164.19254502559141</c:v>
                </c:pt>
                <c:pt idx="371">
                  <c:v>165.18390325608479</c:v>
                </c:pt>
                <c:pt idx="372">
                  <c:v>166.17844105798781</c:v>
                </c:pt>
                <c:pt idx="373">
                  <c:v>167.17615885336673</c:v>
                </c:pt>
                <c:pt idx="374">
                  <c:v>168.17705602868236</c:v>
                </c:pt>
                <c:pt idx="375">
                  <c:v>169.18113195572974</c:v>
                </c:pt>
                <c:pt idx="376">
                  <c:v>170.18838599169445</c:v>
                </c:pt>
                <c:pt idx="377">
                  <c:v>171.19881747920888</c:v>
                </c:pt>
                <c:pt idx="378">
                  <c:v>172.21242574640885</c:v>
                </c:pt>
                <c:pt idx="379">
                  <c:v>173.22921010699031</c:v>
                </c:pt>
                <c:pt idx="380">
                  <c:v>174.24916986026628</c:v>
                </c:pt>
                <c:pt idx="381">
                  <c:v>175.27230429122395</c:v>
                </c:pt>
                <c:pt idx="382">
                  <c:v>176.29861267058192</c:v>
                </c:pt>
                <c:pt idx="383">
                  <c:v>177.32809425484766</c:v>
                </c:pt>
                <c:pt idx="384">
                  <c:v>178.36074828637501</c:v>
                </c:pt>
                <c:pt idx="385">
                  <c:v>179.39657399342215</c:v>
                </c:pt>
                <c:pt idx="386">
                  <c:v>180.43557059020935</c:v>
                </c:pt>
                <c:pt idx="387">
                  <c:v>181.47773727697719</c:v>
                </c:pt>
                <c:pt idx="388">
                  <c:v>182.52307324004482</c:v>
                </c:pt>
                <c:pt idx="389">
                  <c:v>183.57157765186844</c:v>
                </c:pt>
                <c:pt idx="390">
                  <c:v>184.62324967109984</c:v>
                </c:pt>
                <c:pt idx="391">
                  <c:v>185.67808844264525</c:v>
                </c:pt>
                <c:pt idx="392">
                  <c:v>186.73609309772425</c:v>
                </c:pt>
                <c:pt idx="393">
                  <c:v>187.79726275392892</c:v>
                </c:pt>
                <c:pt idx="394">
                  <c:v>188.86159651528303</c:v>
                </c:pt>
                <c:pt idx="395">
                  <c:v>189.92909347230153</c:v>
                </c:pt>
                <c:pt idx="396">
                  <c:v>190.99975270205016</c:v>
                </c:pt>
                <c:pt idx="397">
                  <c:v>192.07357326820508</c:v>
                </c:pt>
                <c:pt idx="398">
                  <c:v>193.15055422111294</c:v>
                </c:pt>
                <c:pt idx="399">
                  <c:v>194.23069459785077</c:v>
                </c:pt>
                <c:pt idx="400">
                  <c:v>195.3139934222863</c:v>
                </c:pt>
                <c:pt idx="401">
                  <c:v>196.40044970513833</c:v>
                </c:pt>
                <c:pt idx="402">
                  <c:v>197.49006244403716</c:v>
                </c:pt>
                <c:pt idx="403">
                  <c:v>198.58283062358538</c:v>
                </c:pt>
                <c:pt idx="404">
                  <c:v>199.67875321541857</c:v>
                </c:pt>
                <c:pt idx="405">
                  <c:v>200.77782917826633</c:v>
                </c:pt>
                <c:pt idx="406">
                  <c:v>201.8800574580134</c:v>
                </c:pt>
                <c:pt idx="407">
                  <c:v>202.98543698776086</c:v>
                </c:pt>
                <c:pt idx="408">
                  <c:v>204.09396668788759</c:v>
                </c:pt>
                <c:pt idx="409">
                  <c:v>205.20564429560571</c:v>
                </c:pt>
                <c:pt idx="410">
                  <c:v>206.32046607168783</c:v>
                </c:pt>
                <c:pt idx="411">
                  <c:v>207.43842797055339</c:v>
                </c:pt>
                <c:pt idx="412">
                  <c:v>208.55952593321166</c:v>
                </c:pt>
                <c:pt idx="413">
                  <c:v>209.68375588738078</c:v>
                </c:pt>
                <c:pt idx="414">
                  <c:v>210.81111374760656</c:v>
                </c:pt>
                <c:pt idx="415">
                  <c:v>211.9415954153813</c:v>
                </c:pt>
                <c:pt idx="416">
                  <c:v>213.07519677926237</c:v>
                </c:pt>
                <c:pt idx="417">
                  <c:v>214.21191371499089</c:v>
                </c:pt>
                <c:pt idx="418">
                  <c:v>215.35174208561008</c:v>
                </c:pt>
                <c:pt idx="419">
                  <c:v>216.49467774158373</c:v>
                </c:pt>
                <c:pt idx="420">
                  <c:v>217.6407165209144</c:v>
                </c:pt>
                <c:pt idx="421">
                  <c:v>218.78985424926157</c:v>
                </c:pt>
                <c:pt idx="422">
                  <c:v>219.94208674005969</c:v>
                </c:pt>
                <c:pt idx="423">
                  <c:v>221.09740979463615</c:v>
                </c:pt>
                <c:pt idx="424">
                  <c:v>222.25581920232895</c:v>
                </c:pt>
                <c:pt idx="425">
                  <c:v>223.41731074060451</c:v>
                </c:pt>
                <c:pt idx="426">
                  <c:v>224.58188017517512</c:v>
                </c:pt>
                <c:pt idx="427">
                  <c:v>225.7495232601164</c:v>
                </c:pt>
                <c:pt idx="428">
                  <c:v>226.92023573798465</c:v>
                </c:pt>
                <c:pt idx="429">
                  <c:v>228.09401333993384</c:v>
                </c:pt>
                <c:pt idx="430">
                  <c:v>229.27085178583278</c:v>
                </c:pt>
                <c:pt idx="431">
                  <c:v>230.45074678438189</c:v>
                </c:pt>
                <c:pt idx="432">
                  <c:v>231.63369403323</c:v>
                </c:pt>
                <c:pt idx="433">
                  <c:v>232.8196892190908</c:v>
                </c:pt>
                <c:pt idx="434">
                  <c:v>234.0087280178594</c:v>
                </c:pt>
                <c:pt idx="435">
                  <c:v>235.20080609472851</c:v>
                </c:pt>
                <c:pt idx="436">
                  <c:v>236.39591910430451</c:v>
                </c:pt>
                <c:pt idx="437">
                  <c:v>237.59406269072352</c:v>
                </c:pt>
                <c:pt idx="438">
                  <c:v>238.79523248776704</c:v>
                </c:pt>
                <c:pt idx="439">
                  <c:v>239.99942411897763</c:v>
                </c:pt>
                <c:pt idx="440">
                  <c:v>241.20663319777435</c:v>
                </c:pt>
                <c:pt idx="441">
                  <c:v>242.41685532756799</c:v>
                </c:pt>
                <c:pt idx="442">
                  <c:v>243.63008610187617</c:v>
                </c:pt>
                <c:pt idx="443">
                  <c:v>244.8463211044382</c:v>
                </c:pt>
                <c:pt idx="444">
                  <c:v>246.0655559093299</c:v>
                </c:pt>
                <c:pt idx="445">
                  <c:v>247.28778608107797</c:v>
                </c:pt>
                <c:pt idx="446">
                  <c:v>248.51300717477446</c:v>
                </c:pt>
                <c:pt idx="447">
                  <c:v>249.74121473619087</c:v>
                </c:pt>
                <c:pt idx="448">
                  <c:v>250.97240430189206</c:v>
                </c:pt>
                <c:pt idx="449">
                  <c:v>252.20657139935003</c:v>
                </c:pt>
                <c:pt idx="450">
                  <c:v>253.44371154705749</c:v>
                </c:pt>
                <c:pt idx="451">
                  <c:v>254.68382025464109</c:v>
                </c:pt>
                <c:pt idx="452">
                  <c:v>255.9268930229747</c:v>
                </c:pt>
                <c:pt idx="453">
                  <c:v>257.17292534429214</c:v>
                </c:pt>
                <c:pt idx="454">
                  <c:v>258.42191270230001</c:v>
                </c:pt>
                <c:pt idx="455">
                  <c:v>259.67385057229006</c:v>
                </c:pt>
                <c:pt idx="456">
                  <c:v>260.92873442125165</c:v>
                </c:pt>
                <c:pt idx="457">
                  <c:v>262.18655970798346</c:v>
                </c:pt>
                <c:pt idx="458">
                  <c:v>263.44732188320557</c:v>
                </c:pt>
                <c:pt idx="459">
                  <c:v>264.71101638967087</c:v>
                </c:pt>
                <c:pt idx="460">
                  <c:v>265.97763866227649</c:v>
                </c:pt>
                <c:pt idx="461">
                  <c:v>267.24718412817481</c:v>
                </c:pt>
                <c:pt idx="462">
                  <c:v>268.51964820688437</c:v>
                </c:pt>
                <c:pt idx="463">
                  <c:v>269.79502631040049</c:v>
                </c:pt>
                <c:pt idx="464">
                  <c:v>271.07331384330558</c:v>
                </c:pt>
                <c:pt idx="465">
                  <c:v>272.35450620287941</c:v>
                </c:pt>
                <c:pt idx="466">
                  <c:v>273.63859877920873</c:v>
                </c:pt>
                <c:pt idx="467">
                  <c:v>274.92558695529709</c:v>
                </c:pt>
                <c:pt idx="468">
                  <c:v>276.21546610717417</c:v>
                </c:pt>
                <c:pt idx="469">
                  <c:v>277.50823160400472</c:v>
                </c:pt>
                <c:pt idx="470">
                  <c:v>278.80387880819762</c:v>
                </c:pt>
                <c:pt idx="471">
                  <c:v>280.1024030755143</c:v>
                </c:pt>
                <c:pt idx="472">
                  <c:v>281.40379975517709</c:v>
                </c:pt>
                <c:pt idx="473">
                  <c:v>282.70806418997716</c:v>
                </c:pt>
                <c:pt idx="474">
                  <c:v>284.01519171638245</c:v>
                </c:pt>
                <c:pt idx="475">
                  <c:v>285.32517766464491</c:v>
                </c:pt>
                <c:pt idx="476">
                  <c:v>286.63801735890792</c:v>
                </c:pt>
                <c:pt idx="477">
                  <c:v>287.95370611731306</c:v>
                </c:pt>
                <c:pt idx="478">
                  <c:v>289.27223925210683</c:v>
                </c:pt>
                <c:pt idx="479">
                  <c:v>290.59361206974688</c:v>
                </c:pt>
                <c:pt idx="480">
                  <c:v>291.91781987100819</c:v>
                </c:pt>
                <c:pt idx="481">
                  <c:v>293.24485795108882</c:v>
                </c:pt>
                <c:pt idx="482">
                  <c:v>294.57472159971519</c:v>
                </c:pt>
                <c:pt idx="483">
                  <c:v>295.90740610124749</c:v>
                </c:pt>
                <c:pt idx="484">
                  <c:v>297.24290673478436</c:v>
                </c:pt>
                <c:pt idx="485">
                  <c:v>298.5812187742676</c:v>
                </c:pt>
                <c:pt idx="486">
                  <c:v>299.92233748858632</c:v>
                </c:pt>
                <c:pt idx="487">
                  <c:v>301.26625814168096</c:v>
                </c:pt>
                <c:pt idx="488">
                  <c:v>302.61297599264685</c:v>
                </c:pt>
                <c:pt idx="489">
                  <c:v>303.96248629583761</c:v>
                </c:pt>
                <c:pt idx="490">
                  <c:v>305.31478430096814</c:v>
                </c:pt>
                <c:pt idx="491">
                  <c:v>306.66986525321732</c:v>
                </c:pt>
                <c:pt idx="492">
                  <c:v>308.0277243933304</c:v>
                </c:pt>
                <c:pt idx="493">
                  <c:v>309.38835695772099</c:v>
                </c:pt>
                <c:pt idx="494">
                  <c:v>310.75175817857286</c:v>
                </c:pt>
                <c:pt idx="495">
                  <c:v>312.11792328394131</c:v>
                </c:pt>
                <c:pt idx="496">
                  <c:v>313.48684749785428</c:v>
                </c:pt>
                <c:pt idx="497">
                  <c:v>314.85852565295676</c:v>
                </c:pt>
                <c:pt idx="498">
                  <c:v>316.23295180289512</c:v>
                </c:pt>
                <c:pt idx="499">
                  <c:v>317.61011961014782</c:v>
                </c:pt>
                <c:pt idx="500">
                  <c:v>318.99002273412873</c:v>
                </c:pt>
                <c:pt idx="501">
                  <c:v>320.3726548313133</c:v>
                </c:pt>
                <c:pt idx="502">
                  <c:v>321.75800955536403</c:v>
                </c:pt>
                <c:pt idx="503">
                  <c:v>323.14608055725535</c:v>
                </c:pt>
                <c:pt idx="504">
                  <c:v>324.53686148539811</c:v>
                </c:pt>
                <c:pt idx="505">
                  <c:v>325.93034598576349</c:v>
                </c:pt>
                <c:pt idx="506">
                  <c:v>327.32652770200633</c:v>
                </c:pt>
                <c:pt idx="507">
                  <c:v>328.72540027558779</c:v>
                </c:pt>
                <c:pt idx="508">
                  <c:v>330.12695734589761</c:v>
                </c:pt>
                <c:pt idx="509">
                  <c:v>331.53119255037575</c:v>
                </c:pt>
                <c:pt idx="510">
                  <c:v>332.93809952463346</c:v>
                </c:pt>
                <c:pt idx="511">
                  <c:v>334.34767190257384</c:v>
                </c:pt>
                <c:pt idx="512">
                  <c:v>335.75990331651184</c:v>
                </c:pt>
                <c:pt idx="513">
                  <c:v>337.17478739729347</c:v>
                </c:pt>
                <c:pt idx="514">
                  <c:v>338.59231777441482</c:v>
                </c:pt>
                <c:pt idx="515">
                  <c:v>340.01248807614019</c:v>
                </c:pt>
                <c:pt idx="516">
                  <c:v>341.43529192961984</c:v>
                </c:pt>
                <c:pt idx="517">
                  <c:v>342.86072296100696</c:v>
                </c:pt>
                <c:pt idx="518">
                  <c:v>344.28877479557428</c:v>
                </c:pt>
                <c:pt idx="519">
                  <c:v>345.71944105783007</c:v>
                </c:pt>
                <c:pt idx="520">
                  <c:v>347.15271537163335</c:v>
                </c:pt>
                <c:pt idx="521">
                  <c:v>348.58859136030878</c:v>
                </c:pt>
                <c:pt idx="522">
                  <c:v>350.02706264676084</c:v>
                </c:pt>
                <c:pt idx="523">
                  <c:v>351.46812285358737</c:v>
                </c:pt>
                <c:pt idx="524">
                  <c:v>352.91176560319269</c:v>
                </c:pt>
                <c:pt idx="525">
                  <c:v>354.35798451789992</c:v>
                </c:pt>
                <c:pt idx="526">
                  <c:v>355.80677322006289</c:v>
                </c:pt>
                <c:pt idx="527">
                  <c:v>357.25812533217737</c:v>
                </c:pt>
                <c:pt idx="528">
                  <c:v>358.71203447699168</c:v>
                </c:pt>
                <c:pt idx="529">
                  <c:v>360.16849427761679</c:v>
                </c:pt>
                <c:pt idx="530">
                  <c:v>361.62749835763583</c:v>
                </c:pt>
                <c:pt idx="531">
                  <c:v>363.08904034121286</c:v>
                </c:pt>
                <c:pt idx="532">
                  <c:v>364.55311385320113</c:v>
                </c:pt>
                <c:pt idx="533">
                  <c:v>366.01971251925079</c:v>
                </c:pt>
                <c:pt idx="534">
                  <c:v>367.48882996591595</c:v>
                </c:pt>
                <c:pt idx="535">
                  <c:v>368.96045982076112</c:v>
                </c:pt>
                <c:pt idx="536">
                  <c:v>370.43459571246706</c:v>
                </c:pt>
                <c:pt idx="537">
                  <c:v>371.91123127093607</c:v>
                </c:pt>
                <c:pt idx="538">
                  <c:v>373.3903601273966</c:v>
                </c:pt>
                <c:pt idx="539">
                  <c:v>374.87197591450723</c:v>
                </c:pt>
                <c:pt idx="540">
                  <c:v>376.35607226646022</c:v>
                </c:pt>
                <c:pt idx="541">
                  <c:v>377.84264281908418</c:v>
                </c:pt>
                <c:pt idx="542">
                  <c:v>379.33168120994645</c:v>
                </c:pt>
                <c:pt idx="543">
                  <c:v>380.82318107845452</c:v>
                </c:pt>
                <c:pt idx="544">
                  <c:v>382.31713606595719</c:v>
                </c:pt>
                <c:pt idx="545">
                  <c:v>383.81353981584482</c:v>
                </c:pt>
                <c:pt idx="546">
                  <c:v>385.3123859736491</c:v>
                </c:pt>
                <c:pt idx="547">
                  <c:v>386.81366818714224</c:v>
                </c:pt>
                <c:pt idx="548">
                  <c:v>388.31738010643551</c:v>
                </c:pt>
                <c:pt idx="549">
                  <c:v>389.82351538407715</c:v>
                </c:pt>
                <c:pt idx="550">
                  <c:v>391.33206740907536</c:v>
                </c:pt>
                <c:pt idx="551">
                  <c:v>392.84302868573388</c:v>
                </c:pt>
                <c:pt idx="552">
                  <c:v>394.3563911004893</c:v>
                </c:pt>
                <c:pt idx="553">
                  <c:v>395.87214654394819</c:v>
                </c:pt>
                <c:pt idx="554">
                  <c:v>397.39028691100901</c:v>
                </c:pt>
                <c:pt idx="555">
                  <c:v>398.91080410098306</c:v>
                </c:pt>
                <c:pt idx="556">
                  <c:v>400.4336900177147</c:v>
                </c:pt>
                <c:pt idx="557">
                  <c:v>401.95893656970037</c:v>
                </c:pt>
                <c:pt idx="558">
                  <c:v>403.48653567020705</c:v>
                </c:pt>
                <c:pt idx="559">
                  <c:v>405.01647923738955</c:v>
                </c:pt>
                <c:pt idx="560">
                  <c:v>406.54875919440695</c:v>
                </c:pt>
                <c:pt idx="561">
                  <c:v>408.0833674695383</c:v>
                </c:pt>
                <c:pt idx="562">
                  <c:v>409.62029599629727</c:v>
                </c:pt>
                <c:pt idx="563">
                  <c:v>411.15953671354595</c:v>
                </c:pt>
                <c:pt idx="564">
                  <c:v>412.70108156560758</c:v>
                </c:pt>
                <c:pt idx="565">
                  <c:v>414.24492250237881</c:v>
                </c:pt>
                <c:pt idx="566">
                  <c:v>415.79105147944051</c:v>
                </c:pt>
                <c:pt idx="567">
                  <c:v>417.33946045816816</c:v>
                </c:pt>
                <c:pt idx="568">
                  <c:v>418.89014140584101</c:v>
                </c:pt>
                <c:pt idx="569">
                  <c:v>420.44308629575056</c:v>
                </c:pt>
                <c:pt idx="570">
                  <c:v>421.99828710730793</c:v>
                </c:pt>
                <c:pt idx="571">
                  <c:v>423.55573582615062</c:v>
                </c:pt>
                <c:pt idx="572">
                  <c:v>425.11542444424805</c:v>
                </c:pt>
                <c:pt idx="573">
                  <c:v>426.67734496000639</c:v>
                </c:pt>
                <c:pt idx="574">
                  <c:v>428.24148937837265</c:v>
                </c:pt>
                <c:pt idx="575">
                  <c:v>429.80784971093749</c:v>
                </c:pt>
                <c:pt idx="576">
                  <c:v>431.37641797603743</c:v>
                </c:pt>
                <c:pt idx="577">
                  <c:v>432.947186198856</c:v>
                </c:pt>
                <c:pt idx="578">
                  <c:v>434.52014641152425</c:v>
                </c:pt>
                <c:pt idx="579">
                  <c:v>436.09529065322005</c:v>
                </c:pt>
                <c:pt idx="580">
                  <c:v>437.67261097026676</c:v>
                </c:pt>
                <c:pt idx="581">
                  <c:v>439.25209941623081</c:v>
                </c:pt>
                <c:pt idx="582">
                  <c:v>440.83374805201856</c:v>
                </c:pt>
                <c:pt idx="583">
                  <c:v>442.41754894597221</c:v>
                </c:pt>
                <c:pt idx="584">
                  <c:v>444.00349417396484</c:v>
                </c:pt>
                <c:pt idx="585">
                  <c:v>445.59157581949449</c:v>
                </c:pt>
                <c:pt idx="586">
                  <c:v>447.18178597377749</c:v>
                </c:pt>
                <c:pt idx="587">
                  <c:v>448.77411673584083</c:v>
                </c:pt>
                <c:pt idx="588">
                  <c:v>450.36856021261366</c:v>
                </c:pt>
                <c:pt idx="589">
                  <c:v>451.96510851901792</c:v>
                </c:pt>
                <c:pt idx="590">
                  <c:v>453.56375377805813</c:v>
                </c:pt>
                <c:pt idx="591">
                  <c:v>455.16448812091022</c:v>
                </c:pt>
                <c:pt idx="592">
                  <c:v>456.7673036870097</c:v>
                </c:pt>
                <c:pt idx="593">
                  <c:v>458.37219262413862</c:v>
                </c:pt>
                <c:pt idx="594">
                  <c:v>459.97914708851198</c:v>
                </c:pt>
                <c:pt idx="595">
                  <c:v>461.58815924486311</c:v>
                </c:pt>
                <c:pt idx="596">
                  <c:v>463.19922126652818</c:v>
                </c:pt>
                <c:pt idx="597">
                  <c:v>464.81232533553003</c:v>
                </c:pt>
                <c:pt idx="598">
                  <c:v>466.42746364266083</c:v>
                </c:pt>
                <c:pt idx="599">
                  <c:v>468.04462838756422</c:v>
                </c:pt>
                <c:pt idx="600">
                  <c:v>469.6638117788163</c:v>
                </c:pt>
                <c:pt idx="601">
                  <c:v>471.28500603400607</c:v>
                </c:pt>
                <c:pt idx="602">
                  <c:v>472.90820337981467</c:v>
                </c:pt>
                <c:pt idx="603">
                  <c:v>474.53339605209402</c:v>
                </c:pt>
                <c:pt idx="604">
                  <c:v>476.16057629594457</c:v>
                </c:pt>
                <c:pt idx="605">
                  <c:v>477.78973636579218</c:v>
                </c:pt>
                <c:pt idx="606">
                  <c:v>479.42086852546419</c:v>
                </c:pt>
                <c:pt idx="607">
                  <c:v>481.0539650482645</c:v>
                </c:pt>
                <c:pt idx="608">
                  <c:v>482.68901821704804</c:v>
                </c:pt>
                <c:pt idx="609">
                  <c:v>484.32602032429423</c:v>
                </c:pt>
                <c:pt idx="610">
                  <c:v>485.96496367217981</c:v>
                </c:pt>
                <c:pt idx="611">
                  <c:v>487.60584057265049</c:v>
                </c:pt>
                <c:pt idx="612">
                  <c:v>489.24864094450538</c:v>
                </c:pt>
                <c:pt idx="613">
                  <c:v>490.89335231635147</c:v>
                </c:pt>
                <c:pt idx="614">
                  <c:v>492.53996223257684</c:v>
                </c:pt>
                <c:pt idx="615">
                  <c:v>494.18845825348336</c:v>
                </c:pt>
                <c:pt idx="616">
                  <c:v>495.83882795541768</c:v>
                </c:pt>
                <c:pt idx="617">
                  <c:v>497.49105893090064</c:v>
                </c:pt>
                <c:pt idx="618">
                  <c:v>499.14513878875442</c:v>
                </c:pt>
                <c:pt idx="619">
                  <c:v>500.80105515422838</c:v>
                </c:pt>
                <c:pt idx="620">
                  <c:v>502.45879566912294</c:v>
                </c:pt>
                <c:pt idx="621">
                  <c:v>504.11834799191155</c:v>
                </c:pt>
                <c:pt idx="622">
                  <c:v>505.7796997978611</c:v>
                </c:pt>
                <c:pt idx="623">
                  <c:v>507.44283877915058</c:v>
                </c:pt>
                <c:pt idx="624">
                  <c:v>509.10775264498767</c:v>
                </c:pt>
                <c:pt idx="625">
                  <c:v>510.77442912172404</c:v>
                </c:pt>
                <c:pt idx="626">
                  <c:v>512.44285595296856</c:v>
                </c:pt>
                <c:pt idx="627">
                  <c:v>514.11302089969899</c:v>
                </c:pt>
                <c:pt idx="628">
                  <c:v>515.78491174037185</c:v>
                </c:pt>
                <c:pt idx="629">
                  <c:v>517.45851627103048</c:v>
                </c:pt>
                <c:pt idx="630">
                  <c:v>519.13382230541174</c:v>
                </c:pt>
                <c:pt idx="631">
                  <c:v>520.81081767505043</c:v>
                </c:pt>
                <c:pt idx="632">
                  <c:v>522.4894902293828</c:v>
                </c:pt>
                <c:pt idx="633">
                  <c:v>524.1698278358474</c:v>
                </c:pt>
                <c:pt idx="634">
                  <c:v>525.85181837998527</c:v>
                </c:pt>
                <c:pt idx="635">
                  <c:v>527.53544976553769</c:v>
                </c:pt>
                <c:pt idx="636">
                  <c:v>529.22070991454257</c:v>
                </c:pt>
                <c:pt idx="637">
                  <c:v>530.90758676742917</c:v>
                </c:pt>
                <c:pt idx="638">
                  <c:v>532.59606828311121</c:v>
                </c:pt>
                <c:pt idx="639">
                  <c:v>534.28614243907828</c:v>
                </c:pt>
                <c:pt idx="640">
                  <c:v>535.97779723148551</c:v>
                </c:pt>
                <c:pt idx="641">
                  <c:v>537.67102067524195</c:v>
                </c:pt>
                <c:pt idx="642">
                  <c:v>539.36580080409692</c:v>
                </c:pt>
                <c:pt idx="643">
                  <c:v>541.06212567072498</c:v>
                </c:pt>
                <c:pt idx="644">
                  <c:v>542.75998334680924</c:v>
                </c:pt>
                <c:pt idx="645">
                  <c:v>544.4593619231232</c:v>
                </c:pt>
                <c:pt idx="646">
                  <c:v>546.16024279512942</c:v>
                </c:pt>
                <c:pt idx="647">
                  <c:v>547.86259992640112</c:v>
                </c:pt>
                <c:pt idx="648">
                  <c:v>549.56640657451646</c:v>
                </c:pt>
                <c:pt idx="649">
                  <c:v>551.27163603926397</c:v>
                </c:pt>
                <c:pt idx="650">
                  <c:v>552.97826166298705</c:v>
                </c:pt>
                <c:pt idx="651">
                  <c:v>554.68625683092239</c:v>
                </c:pt>
                <c:pt idx="652">
                  <c:v>556.39559497153061</c:v>
                </c:pt>
                <c:pt idx="653">
                  <c:v>558.10624955682113</c:v>
                </c:pt>
                <c:pt idx="654">
                  <c:v>559.81819410266928</c:v>
                </c:pt>
                <c:pt idx="655">
                  <c:v>561.53140216912766</c:v>
                </c:pt>
                <c:pt idx="656">
                  <c:v>563.24584736073018</c:v>
                </c:pt>
                <c:pt idx="657">
                  <c:v>564.96150332678963</c:v>
                </c:pt>
                <c:pt idx="658">
                  <c:v>566.67834376168867</c:v>
                </c:pt>
                <c:pt idx="659">
                  <c:v>568.39634240516432</c:v>
                </c:pt>
                <c:pt idx="660">
                  <c:v>570.1154730425859</c:v>
                </c:pt>
                <c:pt idx="661">
                  <c:v>571.83570950522619</c:v>
                </c:pt>
                <c:pt idx="662">
                  <c:v>573.55702567052674</c:v>
                </c:pt>
                <c:pt idx="663">
                  <c:v>575.27939546235586</c:v>
                </c:pt>
                <c:pt idx="664">
                  <c:v>577.00279285126135</c:v>
                </c:pt>
                <c:pt idx="665">
                  <c:v>578.72719185471578</c:v>
                </c:pt>
                <c:pt idx="666">
                  <c:v>580.4525522489397</c:v>
                </c:pt>
                <c:pt idx="667">
                  <c:v>582.17881602004081</c:v>
                </c:pt>
                <c:pt idx="668">
                  <c:v>583.90592168575392</c:v>
                </c:pt>
                <c:pt idx="669">
                  <c:v>585.63380787850758</c:v>
                </c:pt>
                <c:pt idx="670">
                  <c:v>587.36241334693602</c:v>
                </c:pt>
                <c:pt idx="671">
                  <c:v>589.09167695735596</c:v>
                </c:pt>
                <c:pt idx="672">
                  <c:v>590.82153769521005</c:v>
                </c:pt>
                <c:pt idx="673">
                  <c:v>592.55193466647609</c:v>
                </c:pt>
                <c:pt idx="674">
                  <c:v>594.28280709904209</c:v>
                </c:pt>
                <c:pt idx="675">
                  <c:v>596.01409434404809</c:v>
                </c:pt>
                <c:pt idx="676">
                  <c:v>597.74573587719431</c:v>
                </c:pt>
                <c:pt idx="677">
                  <c:v>599.47767130001569</c:v>
                </c:pt>
                <c:pt idx="678">
                  <c:v>601.20984034112382</c:v>
                </c:pt>
                <c:pt idx="679">
                  <c:v>602.94218285741545</c:v>
                </c:pt>
                <c:pt idx="680">
                  <c:v>604.67463883524817</c:v>
                </c:pt>
                <c:pt idx="681">
                  <c:v>606.40714839158375</c:v>
                </c:pt>
                <c:pt idx="682">
                  <c:v>608.13965177509874</c:v>
                </c:pt>
                <c:pt idx="683">
                  <c:v>609.87208936726347</c:v>
                </c:pt>
                <c:pt idx="684">
                  <c:v>611.60440168338812</c:v>
                </c:pt>
                <c:pt idx="685">
                  <c:v>613.33652937363752</c:v>
                </c:pt>
                <c:pt idx="686">
                  <c:v>615.06841322401465</c:v>
                </c:pt>
                <c:pt idx="687">
                  <c:v>616.79999415731186</c:v>
                </c:pt>
                <c:pt idx="688">
                  <c:v>618.53121323403195</c:v>
                </c:pt>
                <c:pt idx="689">
                  <c:v>620.26201165327745</c:v>
                </c:pt>
                <c:pt idx="690">
                  <c:v>621.99233075360962</c:v>
                </c:pt>
                <c:pt idx="691">
                  <c:v>623.72211201387711</c:v>
                </c:pt>
                <c:pt idx="692">
                  <c:v>625.45129705401405</c:v>
                </c:pt>
                <c:pt idx="693">
                  <c:v>627.1798276358079</c:v>
                </c:pt>
                <c:pt idx="694">
                  <c:v>628.9076456636385</c:v>
                </c:pt>
                <c:pt idx="695">
                  <c:v>630.63469318518639</c:v>
                </c:pt>
                <c:pt idx="696">
                  <c:v>632.36091239211271</c:v>
                </c:pt>
                <c:pt idx="697">
                  <c:v>634.08624562070952</c:v>
                </c:pt>
                <c:pt idx="698">
                  <c:v>635.8106353525219</c:v>
                </c:pt>
                <c:pt idx="699">
                  <c:v>637.53402421494093</c:v>
                </c:pt>
                <c:pt idx="700">
                  <c:v>639.2563549817686</c:v>
                </c:pt>
                <c:pt idx="701">
                  <c:v>640.97757057375497</c:v>
                </c:pt>
                <c:pt idx="702">
                  <c:v>642.69761405910708</c:v>
                </c:pt>
                <c:pt idx="703">
                  <c:v>644.4164286539708</c:v>
                </c:pt>
                <c:pt idx="704">
                  <c:v>646.13395772288504</c:v>
                </c:pt>
                <c:pt idx="705">
                  <c:v>647.85014477920947</c:v>
                </c:pt>
                <c:pt idx="706">
                  <c:v>649.56493348552476</c:v>
                </c:pt>
                <c:pt idx="707">
                  <c:v>651.27826765400732</c:v>
                </c:pt>
                <c:pt idx="708">
                  <c:v>652.99009085590558</c:v>
                </c:pt>
                <c:pt idx="709">
                  <c:v>654.70034290369836</c:v>
                </c:pt>
                <c:pt idx="710">
                  <c:v>656.40896025399263</c:v>
                </c:pt>
                <c:pt idx="711">
                  <c:v>658.1158795378168</c:v>
                </c:pt>
                <c:pt idx="712">
                  <c:v>659.82103756111792</c:v>
                </c:pt>
                <c:pt idx="713">
                  <c:v>661.52437130522549</c:v>
                </c:pt>
                <c:pt idx="714">
                  <c:v>663.22581792728249</c:v>
                </c:pt>
                <c:pt idx="715">
                  <c:v>664.925314760643</c:v>
                </c:pt>
                <c:pt idx="716">
                  <c:v>666.62279931523744</c:v>
                </c:pt>
                <c:pt idx="717">
                  <c:v>668.31820927790579</c:v>
                </c:pt>
                <c:pt idx="718">
                  <c:v>670.01148251269865</c:v>
                </c:pt>
                <c:pt idx="719">
                  <c:v>671.70255706114722</c:v>
                </c:pt>
                <c:pt idx="720">
                  <c:v>673.39137114250173</c:v>
                </c:pt>
                <c:pt idx="721">
                  <c:v>675.07786315393969</c:v>
                </c:pt>
                <c:pt idx="722">
                  <c:v>676.76197167074281</c:v>
                </c:pt>
                <c:pt idx="723">
                  <c:v>678.44363544644466</c:v>
                </c:pt>
                <c:pt idx="724">
                  <c:v>680.12279341294834</c:v>
                </c:pt>
                <c:pt idx="725">
                  <c:v>681.79933484663991</c:v>
                </c:pt>
                <c:pt idx="726">
                  <c:v>683.47307818702404</c:v>
                </c:pt>
                <c:pt idx="727">
                  <c:v>685.1439280080034</c:v>
                </c:pt>
                <c:pt idx="728">
                  <c:v>686.81189607377462</c:v>
                </c:pt>
                <c:pt idx="729">
                  <c:v>688.47699407631842</c:v>
                </c:pt>
                <c:pt idx="730">
                  <c:v>690.1392336359977</c:v>
                </c:pt>
                <c:pt idx="731">
                  <c:v>691.7986263021487</c:v>
                </c:pt>
                <c:pt idx="732">
                  <c:v>693.45518355366687</c:v>
                </c:pt>
                <c:pt idx="733">
                  <c:v>695.10891679958604</c:v>
                </c:pt>
                <c:pt idx="734">
                  <c:v>696.75983737965157</c:v>
                </c:pt>
                <c:pt idx="735">
                  <c:v>698.40795656488842</c:v>
                </c:pt>
                <c:pt idx="736">
                  <c:v>700.0532855581622</c:v>
                </c:pt>
                <c:pt idx="737">
                  <c:v>701.69583549473543</c:v>
                </c:pt>
                <c:pt idx="738">
                  <c:v>703.33561744281735</c:v>
                </c:pt>
                <c:pt idx="739">
                  <c:v>704.97264240410891</c:v>
                </c:pt>
                <c:pt idx="740">
                  <c:v>706.60692131434132</c:v>
                </c:pt>
                <c:pt idx="741">
                  <c:v>708.23846504380981</c:v>
                </c:pt>
                <c:pt idx="742">
                  <c:v>709.86728439790159</c:v>
                </c:pt>
                <c:pt idx="743">
                  <c:v>711.49339011761879</c:v>
                </c:pt>
                <c:pt idx="744">
                  <c:v>713.11679288009555</c:v>
                </c:pt>
                <c:pt idx="745">
                  <c:v>714.73750329911047</c:v>
                </c:pt>
                <c:pt idx="746">
                  <c:v>716.3555319255936</c:v>
                </c:pt>
                <c:pt idx="747">
                  <c:v>717.97088924812829</c:v>
                </c:pt>
                <c:pt idx="748">
                  <c:v>719.5835856934483</c:v>
                </c:pt>
                <c:pt idx="749">
                  <c:v>721.19363162692957</c:v>
                </c:pt>
                <c:pt idx="750">
                  <c:v>722.80103735307716</c:v>
                </c:pt>
                <c:pt idx="751">
                  <c:v>724.40581311600772</c:v>
                </c:pt>
                <c:pt idx="752">
                  <c:v>726.00796909992653</c:v>
                </c:pt>
                <c:pt idx="753">
                  <c:v>727.6075154296002</c:v>
                </c:pt>
                <c:pt idx="754">
                  <c:v>729.20446217082474</c:v>
                </c:pt>
                <c:pt idx="755">
                  <c:v>730.7988193308887</c:v>
                </c:pt>
                <c:pt idx="756">
                  <c:v>732.39059685903203</c:v>
                </c:pt>
                <c:pt idx="757">
                  <c:v>733.97980464690011</c:v>
                </c:pt>
                <c:pt idx="758">
                  <c:v>735.56645252899375</c:v>
                </c:pt>
                <c:pt idx="759">
                  <c:v>737.15055028311417</c:v>
                </c:pt>
                <c:pt idx="760">
                  <c:v>738.73210763080431</c:v>
                </c:pt>
                <c:pt idx="761">
                  <c:v>740.31113423778527</c:v>
                </c:pt>
                <c:pt idx="762">
                  <c:v>741.8876397143888</c:v>
                </c:pt>
                <c:pt idx="763">
                  <c:v>743.46163361598542</c:v>
                </c:pt>
                <c:pt idx="764">
                  <c:v>745.03312544340861</c:v>
                </c:pt>
                <c:pt idx="765">
                  <c:v>746.60212464337462</c:v>
                </c:pt>
                <c:pt idx="766">
                  <c:v>748.16864060889827</c:v>
                </c:pt>
                <c:pt idx="767">
                  <c:v>749.73268267970479</c:v>
                </c:pt>
                <c:pt idx="768">
                  <c:v>751.29426014263777</c:v>
                </c:pt>
                <c:pt idx="769">
                  <c:v>752.85338223206315</c:v>
                </c:pt>
                <c:pt idx="770">
                  <c:v>754.41005813026925</c:v>
                </c:pt>
                <c:pt idx="771">
                  <c:v>755.96429696786277</c:v>
                </c:pt>
                <c:pt idx="772">
                  <c:v>757.51610782416162</c:v>
                </c:pt>
                <c:pt idx="773">
                  <c:v>759.06549972758341</c:v>
                </c:pt>
                <c:pt idx="774">
                  <c:v>760.61248165603058</c:v>
                </c:pt>
                <c:pt idx="775">
                  <c:v>762.15706253727137</c:v>
                </c:pt>
                <c:pt idx="776">
                  <c:v>763.69925124931819</c:v>
                </c:pt>
                <c:pt idx="777">
                  <c:v>765.23905662080108</c:v>
                </c:pt>
                <c:pt idx="778">
                  <c:v>766.77648743133875</c:v>
                </c:pt>
                <c:pt idx="779">
                  <c:v>768.31155241190561</c:v>
                </c:pt>
                <c:pt idx="780">
                  <c:v>769.84426024519541</c:v>
                </c:pt>
                <c:pt idx="781">
                  <c:v>771.37461956598156</c:v>
                </c:pt>
                <c:pt idx="782">
                  <c:v>772.9026389614736</c:v>
                </c:pt>
                <c:pt idx="783">
                  <c:v>774.42832697167137</c:v>
                </c:pt>
                <c:pt idx="784">
                  <c:v>775.9516920897147</c:v>
                </c:pt>
                <c:pt idx="785">
                  <c:v>777.47274276223061</c:v>
                </c:pt>
                <c:pt idx="786">
                  <c:v>778.99148738967699</c:v>
                </c:pt>
                <c:pt idx="787">
                  <c:v>780.5079343266832</c:v>
                </c:pt>
                <c:pt idx="788">
                  <c:v>782.02209188238726</c:v>
                </c:pt>
                <c:pt idx="789">
                  <c:v>783.53396832077033</c:v>
                </c:pt>
                <c:pt idx="790">
                  <c:v>785.04357186098775</c:v>
                </c:pt>
                <c:pt idx="791">
                  <c:v>786.55091067769729</c:v>
                </c:pt>
                <c:pt idx="792">
                  <c:v>788.05599290138389</c:v>
                </c:pt>
                <c:pt idx="793">
                  <c:v>789.55882661868225</c:v>
                </c:pt>
                <c:pt idx="794">
                  <c:v>791.0594198726958</c:v>
                </c:pt>
                <c:pt idx="795">
                  <c:v>792.55778066331277</c:v>
                </c:pt>
                <c:pt idx="796">
                  <c:v>794.05391694751984</c:v>
                </c:pt>
                <c:pt idx="797">
                  <c:v>795.54783663971239</c:v>
                </c:pt>
                <c:pt idx="798">
                  <c:v>797.03954761200237</c:v>
                </c:pt>
                <c:pt idx="799">
                  <c:v>798.52905769452309</c:v>
                </c:pt>
                <c:pt idx="800">
                  <c:v>800.01637467573119</c:v>
                </c:pt>
                <c:pt idx="801">
                  <c:v>814.76952385047719</c:v>
                </c:pt>
                <c:pt idx="802">
                  <c:v>829.30832768100458</c:v>
                </c:pt>
                <c:pt idx="803">
                  <c:v>843.6401969810554</c:v>
                </c:pt>
                <c:pt idx="804">
                  <c:v>857.77216272119836</c:v>
                </c:pt>
                <c:pt idx="805">
                  <c:v>871.7109019758359</c:v>
                </c:pt>
                <c:pt idx="806">
                  <c:v>885.46276167163603</c:v>
                </c:pt>
                <c:pt idx="807">
                  <c:v>899.03378035864546</c:v>
                </c:pt>
                <c:pt idx="808">
                  <c:v>912.42970819966786</c:v>
                </c:pt>
                <c:pt idx="809">
                  <c:v>925.65602535117978</c:v>
                </c:pt>
                <c:pt idx="810">
                  <c:v>938.71795888961822</c:v>
                </c:pt>
                <c:pt idx="811">
                  <c:v>951.62049841989653</c:v>
                </c:pt>
                <c:pt idx="812">
                  <c:v>964.36841048814654</c:v>
                </c:pt>
                <c:pt idx="813">
                  <c:v>976.96625190764348</c:v>
                </c:pt>
                <c:pt idx="814">
                  <c:v>989.41838209541083</c:v>
                </c:pt>
                <c:pt idx="815">
                  <c:v>1001.7289745068962</c:v>
                </c:pt>
                <c:pt idx="816">
                  <c:v>1013.9020272471964</c:v>
                </c:pt>
                <c:pt idx="817">
                  <c:v>1025.9413729294172</c:v>
                </c:pt>
                <c:pt idx="818">
                  <c:v>1037.850687843762</c:v>
                </c:pt>
                <c:pt idx="819">
                  <c:v>1049.6335004947352</c:v>
                </c:pt>
                <c:pt idx="820">
                  <c:v>1061.2931995583219</c:v>
                </c:pt>
                <c:pt idx="821">
                  <c:v>1072.8330413060839</c:v>
                </c:pt>
                <c:pt idx="822">
                  <c:v>1084.2561565387193</c:v>
                </c:pt>
                <c:pt idx="823">
                  <c:v>1095.5655570677038</c:v>
                </c:pt>
                <c:pt idx="824">
                  <c:v>1106.7641417801162</c:v>
                </c:pt>
                <c:pt idx="825">
                  <c:v>1117.8547023185929</c:v>
                </c:pt>
                <c:pt idx="826">
                  <c:v>1128.839928405527</c:v>
                </c:pt>
                <c:pt idx="827">
                  <c:v>1139.7224128380731</c:v>
                </c:pt>
                <c:pt idx="828">
                  <c:v>1150.5046561782281</c:v>
                </c:pt>
                <c:pt idx="829">
                  <c:v>1161.1890711601809</c:v>
                </c:pt>
                <c:pt idx="830">
                  <c:v>1171.7779868352602</c:v>
                </c:pt>
                <c:pt idx="831">
                  <c:v>1182.2736524731085</c:v>
                </c:pt>
                <c:pt idx="832">
                  <c:v>1192.6782412361865</c:v>
                </c:pt>
                <c:pt idx="833">
                  <c:v>1202.9938536433151</c:v>
                </c:pt>
                <c:pt idx="834">
                  <c:v>1213.2225208367056</c:v>
                </c:pt>
                <c:pt idx="835">
                  <c:v>1223.3662076657772</c:v>
                </c:pt>
                <c:pt idx="836">
                  <c:v>1233.4268156000228</c:v>
                </c:pt>
                <c:pt idx="837">
                  <c:v>1243.4061854822273</c:v>
                </c:pt>
                <c:pt idx="838">
                  <c:v>1253.3061001324797</c:v>
                </c:pt>
                <c:pt idx="839">
                  <c:v>1263.1282868126273</c:v>
                </c:pt>
                <c:pt idx="840">
                  <c:v>1272.8744195600955</c:v>
                </c:pt>
                <c:pt idx="841">
                  <c:v>1282.5461213993365</c:v>
                </c:pt>
                <c:pt idx="842">
                  <c:v>1292.1449664385621</c:v>
                </c:pt>
                <c:pt idx="843">
                  <c:v>1301.6724818588616</c:v>
                </c:pt>
                <c:pt idx="844">
                  <c:v>1311.1301498022938</c:v>
                </c:pt>
                <c:pt idx="845">
                  <c:v>1320.5194091650756</c:v>
                </c:pt>
                <c:pt idx="846">
                  <c:v>1329.8416573015568</c:v>
                </c:pt>
                <c:pt idx="847">
                  <c:v>1339.0982516442768</c:v>
                </c:pt>
                <c:pt idx="848">
                  <c:v>1348.2905112450314</c:v>
                </c:pt>
                <c:pt idx="849">
                  <c:v>1357.4197182415439</c:v>
                </c:pt>
                <c:pt idx="850">
                  <c:v>1366.4871192540218</c:v>
                </c:pt>
                <c:pt idx="851">
                  <c:v>1375.4939267155958</c:v>
                </c:pt>
                <c:pt idx="852">
                  <c:v>1384.4413201403725</c:v>
                </c:pt>
                <c:pt idx="853">
                  <c:v>1393.3304473325857</c:v>
                </c:pt>
                <c:pt idx="854">
                  <c:v>1402.1624255401073</c:v>
                </c:pt>
                <c:pt idx="855">
                  <c:v>1410.9383425553667</c:v>
                </c:pt>
                <c:pt idx="856">
                  <c:v>1419.6592577665338</c:v>
                </c:pt>
                <c:pt idx="857">
                  <c:v>1428.3262031616396</c:v>
                </c:pt>
                <c:pt idx="858">
                  <c:v>1436.9401842881423</c:v>
                </c:pt>
                <c:pt idx="859">
                  <c:v>1445.5021811702886</c:v>
                </c:pt>
                <c:pt idx="860">
                  <c:v>1454.013149186479</c:v>
                </c:pt>
                <c:pt idx="861">
                  <c:v>1462.4740199087059</c:v>
                </c:pt>
                <c:pt idx="862">
                  <c:v>1470.8857019060144</c:v>
                </c:pt>
                <c:pt idx="863">
                  <c:v>1479.2490815138131</c:v>
                </c:pt>
                <c:pt idx="864">
                  <c:v>1487.5650235707574</c:v>
                </c:pt>
                <c:pt idx="865">
                  <c:v>1495.834372124825</c:v>
                </c:pt>
                <c:pt idx="866">
                  <c:v>1504.0579511101082</c:v>
                </c:pt>
                <c:pt idx="867">
                  <c:v>1512.236564995759</c:v>
                </c:pt>
                <c:pt idx="868">
                  <c:v>1520.370999408442</c:v>
                </c:pt>
                <c:pt idx="869">
                  <c:v>1528.4620217295721</c:v>
                </c:pt>
                <c:pt idx="870">
                  <c:v>1536.5103816685398</c:v>
                </c:pt>
                <c:pt idx="871">
                  <c:v>1544.5168118130623</c:v>
                </c:pt>
                <c:pt idx="872">
                  <c:v>1552.4820281577342</c:v>
                </c:pt>
                <c:pt idx="873">
                  <c:v>1560.4067306117909</c:v>
                </c:pt>
                <c:pt idx="874">
                  <c:v>1568.2916034870423</c:v>
                </c:pt>
                <c:pt idx="875">
                  <c:v>1576.1373159668869</c:v>
                </c:pt>
                <c:pt idx="876">
                  <c:v>1583.9445225572588</c:v>
                </c:pt>
                <c:pt idx="877">
                  <c:v>1591.7138635203214</c:v>
                </c:pt>
                <c:pt idx="878">
                  <c:v>1599.4459652916767</c:v>
                </c:pt>
                <c:pt idx="879">
                  <c:v>1607.1414408818137</c:v>
                </c:pt>
                <c:pt idx="880">
                  <c:v>1614.8008902624897</c:v>
                </c:pt>
                <c:pt idx="881">
                  <c:v>1622.4249007386939</c:v>
                </c:pt>
                <c:pt idx="882">
                  <c:v>1630.0140473068136</c:v>
                </c:pt>
                <c:pt idx="883">
                  <c:v>1637.5688929995913</c:v>
                </c:pt>
                <c:pt idx="884">
                  <c:v>1645.0899892184282</c:v>
                </c:pt>
                <c:pt idx="885">
                  <c:v>1652.5778760535638</c:v>
                </c:pt>
                <c:pt idx="886">
                  <c:v>1660.0330825926335</c:v>
                </c:pt>
                <c:pt idx="887">
                  <c:v>1667.4561272180795</c:v>
                </c:pt>
                <c:pt idx="888">
                  <c:v>1674.8475178938713</c:v>
                </c:pt>
                <c:pt idx="889">
                  <c:v>1682.2077524419624</c:v>
                </c:pt>
                <c:pt idx="890">
                  <c:v>1689.5373188088936</c:v>
                </c:pt>
                <c:pt idx="891">
                  <c:v>1696.8366953229327</c:v>
                </c:pt>
                <c:pt idx="892">
                  <c:v>1704.1063509421185</c:v>
                </c:pt>
                <c:pt idx="893">
                  <c:v>1711.3467454935637</c:v>
                </c:pt>
                <c:pt idx="894">
                  <c:v>1718.5583299043476</c:v>
                </c:pt>
                <c:pt idx="895">
                  <c:v>1725.7415464243199</c:v>
                </c:pt>
                <c:pt idx="896">
                  <c:v>1732.8968288411183</c:v>
                </c:pt>
                <c:pt idx="897">
                  <c:v>1740.0246026876882</c:v>
                </c:pt>
                <c:pt idx="898">
                  <c:v>1747.1252854425784</c:v>
                </c:pt>
                <c:pt idx="899">
                  <c:v>1754.1992867232768</c:v>
                </c:pt>
                <c:pt idx="900">
                  <c:v>1761.2470084728332</c:v>
                </c:pt>
                <c:pt idx="901">
                  <c:v>1768.2688451400081</c:v>
                </c:pt>
                <c:pt idx="902">
                  <c:v>1775.2651838531742</c:v>
                </c:pt>
                <c:pt idx="903">
                  <c:v>1782.2364045881843</c:v>
                </c:pt>
                <c:pt idx="904">
                  <c:v>1789.182880330414</c:v>
                </c:pt>
                <c:pt idx="905">
                  <c:v>1796.1049772311733</c:v>
                </c:pt>
                <c:pt idx="906">
                  <c:v>1803.0030547586741</c:v>
                </c:pt>
                <c:pt idx="907">
                  <c:v>1809.8774658437342</c:v>
                </c:pt>
                <c:pt idx="908">
                  <c:v>1816.7285570203831</c:v>
                </c:pt>
                <c:pt idx="909">
                  <c:v>1823.5566685615374</c:v>
                </c:pt>
                <c:pt idx="910">
                  <c:v>1830.3621346098964</c:v>
                </c:pt>
                <c:pt idx="911">
                  <c:v>1837.1452833042056</c:v>
                </c:pt>
                <c:pt idx="912">
                  <c:v>1843.9064369010323</c:v>
                </c:pt>
                <c:pt idx="913">
                  <c:v>1850.6459118921834</c:v>
                </c:pt>
                <c:pt idx="914">
                  <c:v>1857.3640191178974</c:v>
                </c:pt>
                <c:pt idx="915">
                  <c:v>1864.0610638759294</c:v>
                </c:pt>
                <c:pt idx="916">
                  <c:v>1870.7373460266499</c:v>
                </c:pt>
                <c:pt idx="917">
                  <c:v>1877.393160094266</c:v>
                </c:pt>
                <c:pt idx="918">
                  <c:v>1884.0287953642742</c:v>
                </c:pt>
                <c:pt idx="919">
                  <c:v>1890.6445359772445</c:v>
                </c:pt>
                <c:pt idx="920">
                  <c:v>1897.2406610190367</c:v>
                </c:pt>
                <c:pt idx="921">
                  <c:v>1903.8174446075388</c:v>
                </c:pt>
                <c:pt idx="922">
                  <c:v>1910.3751559760203</c:v>
                </c:pt>
                <c:pt idx="923">
                  <c:v>1916.9140595531837</c:v>
                </c:pt>
                <c:pt idx="924">
                  <c:v>1923.4344150399988</c:v>
                </c:pt>
                <c:pt idx="925">
                  <c:v>1929.9364774833978</c:v>
                </c:pt>
                <c:pt idx="926">
                  <c:v>1936.4204973469064</c:v>
                </c:pt>
                <c:pt idx="927">
                  <c:v>1942.8867205782876</c:v>
                </c:pt>
                <c:pt idx="928">
                  <c:v>1949.3353886742655</c:v>
                </c:pt>
                <c:pt idx="929">
                  <c:v>1955.766738742399</c:v>
                </c:pt>
                <c:pt idx="930">
                  <c:v>1962.1810035601727</c:v>
                </c:pt>
                <c:pt idx="931">
                  <c:v>1968.5784116313687</c:v>
                </c:pt>
                <c:pt idx="932">
                  <c:v>1974.9591872397812</c:v>
                </c:pt>
                <c:pt idx="933">
                  <c:v>1981.3235505003374</c:v>
                </c:pt>
                <c:pt idx="934">
                  <c:v>1987.6717174076841</c:v>
                </c:pt>
                <c:pt idx="935">
                  <c:v>1994.0038998822979</c:v>
                </c:pt>
                <c:pt idx="936">
                  <c:v>2000.3203058141803</c:v>
                </c:pt>
                <c:pt idx="937">
                  <c:v>2006.6211391041936</c:v>
                </c:pt>
                <c:pt idx="938">
                  <c:v>2012.9065997030962</c:v>
                </c:pt>
                <c:pt idx="939">
                  <c:v>2019.1768836483352</c:v>
                </c:pt>
                <c:pt idx="940">
                  <c:v>2025.4321830986548</c:v>
                </c:pt>
                <c:pt idx="941">
                  <c:v>2031.6726863665788</c:v>
                </c:pt>
                <c:pt idx="942">
                  <c:v>2037.8985779488255</c:v>
                </c:pt>
                <c:pt idx="943">
                  <c:v>2044.1100385547177</c:v>
                </c:pt>
                <c:pt idx="944">
                  <c:v>2050.307245132647</c:v>
                </c:pt>
                <c:pt idx="945">
                  <c:v>2056.4903708946581</c:v>
                </c:pt>
                <c:pt idx="946">
                  <c:v>2062.6595853392155</c:v>
                </c:pt>
                <c:pt idx="947">
                  <c:v>2068.8150542722206</c:v>
                </c:pt>
                <c:pt idx="948">
                  <c:v>2074.9569398263498</c:v>
                </c:pt>
                <c:pt idx="949">
                  <c:v>2081.0854004787834</c:v>
                </c:pt>
                <c:pt idx="950">
                  <c:v>2087.2005910673993</c:v>
                </c:pt>
                <c:pt idx="951">
                  <c:v>2093.3026628055113</c:v>
                </c:pt>
                <c:pt idx="952">
                  <c:v>2099.3917632952302</c:v>
                </c:pt>
                <c:pt idx="953">
                  <c:v>2105.4680365395325</c:v>
                </c:pt>
                <c:pt idx="954">
                  <c:v>2111.5316229531222</c:v>
                </c:pt>
                <c:pt idx="955">
                  <c:v>2117.5826593721799</c:v>
                </c:pt>
                <c:pt idx="956">
                  <c:v>2123.6212790630889</c:v>
                </c:pt>
                <c:pt idx="957">
                  <c:v>2129.6476117302395</c:v>
                </c:pt>
                <c:pt idx="958">
                  <c:v>2135.6617835230131</c:v>
                </c:pt>
                <c:pt idx="959">
                  <c:v>2141.6639170420494</c:v>
                </c:pt>
                <c:pt idx="960">
                  <c:v>2147.6541313449088</c:v>
                </c:pt>
                <c:pt idx="961">
                  <c:v>2153.6325419512395</c:v>
                </c:pt>
                <c:pt idx="962">
                  <c:v>2159.5992608475667</c:v>
                </c:pt>
                <c:pt idx="963">
                  <c:v>2165.5543964918247</c:v>
                </c:pt>
                <c:pt idx="964">
                  <c:v>2171.4980538177501</c:v>
                </c:pt>
                <c:pt idx="965">
                  <c:v>2177.4303342392636</c:v>
                </c:pt>
                <c:pt idx="966">
                  <c:v>2183.3513356549665</c:v>
                </c:pt>
                <c:pt idx="967">
                  <c:v>2189.2611524528761</c:v>
                </c:pt>
                <c:pt idx="968">
                  <c:v>2195.1598755155374</c:v>
                </c:pt>
                <c:pt idx="969">
                  <c:v>2201.047592225631</c:v>
                </c:pt>
                <c:pt idx="970">
                  <c:v>2206.9243864722152</c:v>
                </c:pt>
                <c:pt idx="971">
                  <c:v>2212.7903386577264</c:v>
                </c:pt>
                <c:pt idx="972">
                  <c:v>2218.6455257058665</c:v>
                </c:pt>
                <c:pt idx="973">
                  <c:v>2224.4900210705014</c:v>
                </c:pt>
                <c:pt idx="974">
                  <c:v>2230.3238947456944</c:v>
                </c:pt>
                <c:pt idx="975">
                  <c:v>2236.1472132769914</c:v>
                </c:pt>
                <c:pt idx="976">
                  <c:v>2241.9600397740678</c:v>
                </c:pt>
                <c:pt idx="977">
                  <c:v>2247.7624339248523</c:v>
                </c:pt>
                <c:pt idx="978">
                  <c:v>2253.5544520112194</c:v>
                </c:pt>
                <c:pt idx="979">
                  <c:v>2259.3361469263514</c:v>
                </c:pt>
                <c:pt idx="980">
                  <c:v>2265.1075681938523</c:v>
                </c:pt>
                <c:pt idx="981">
                  <c:v>2270.8687619886923</c:v>
                </c:pt>
                <c:pt idx="982">
                  <c:v>2276.6197711600475</c:v>
                </c:pt>
                <c:pt idx="983">
                  <c:v>2282.3606352560969</c:v>
                </c:pt>
                <c:pt idx="984">
                  <c:v>2288.0913905508214</c:v>
                </c:pt>
                <c:pt idx="985">
                  <c:v>2293.81207007284</c:v>
                </c:pt>
                <c:pt idx="986">
                  <c:v>2299.5227036363108</c:v>
                </c:pt>
                <c:pt idx="987">
                  <c:v>2305.2233178739098</c:v>
                </c:pt>
                <c:pt idx="988">
                  <c:v>2310.9139362718893</c:v>
                </c:pt>
                <c:pt idx="989">
                  <c:v>2316.5945792072071</c:v>
                </c:pt>
                <c:pt idx="990">
                  <c:v>2322.2652639867069</c:v>
                </c:pt>
                <c:pt idx="991">
                  <c:v>2327.9260048883161</c:v>
                </c:pt>
                <c:pt idx="992">
                  <c:v>2333.5768132042231</c:v>
                </c:pt>
                <c:pt idx="993">
                  <c:v>2339.2176972859784</c:v>
                </c:pt>
                <c:pt idx="994">
                  <c:v>2344.8486625914579</c:v>
                </c:pt>
                <c:pt idx="995">
                  <c:v>2350.46971173362</c:v>
                </c:pt>
                <c:pt idx="996">
                  <c:v>2356.0808445309744</c:v>
                </c:pt>
                <c:pt idx="997">
                  <c:v>2361.6820580596773</c:v>
                </c:pt>
                <c:pt idx="998">
                  <c:v>2367.2733467071607</c:v>
                </c:pt>
                <c:pt idx="999">
                  <c:v>2372.8547022271946</c:v>
                </c:pt>
                <c:pt idx="1000">
                  <c:v>2378.4261137962781</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Calculs!$K$4:$K$1004</c:f>
              <c:numCache>
                <c:formatCode>0.00</c:formatCode>
                <c:ptCount val="1001"/>
                <c:pt idx="0">
                  <c:v>0</c:v>
                </c:pt>
                <c:pt idx="1">
                  <c:v>0</c:v>
                </c:pt>
                <c:pt idx="2">
                  <c:v>6.0020307963908244E-4</c:v>
                </c:pt>
                <c:pt idx="3">
                  <c:v>3.1064297722816271E-3</c:v>
                </c:pt>
                <c:pt idx="4">
                  <c:v>8.9304400737679878E-3</c:v>
                </c:pt>
                <c:pt idx="5">
                  <c:v>1.9213038171493942E-2</c:v>
                </c:pt>
                <c:pt idx="6">
                  <c:v>3.4551735190846859E-2</c:v>
                </c:pt>
                <c:pt idx="7">
                  <c:v>5.5272410308980426E-2</c:v>
                </c:pt>
                <c:pt idx="8">
                  <c:v>8.1701311614856109E-2</c:v>
                </c:pt>
                <c:pt idx="9">
                  <c:v>0.11409101034021218</c:v>
                </c:pt>
                <c:pt idx="10">
                  <c:v>0.15254622098685661</c:v>
                </c:pt>
                <c:pt idx="11">
                  <c:v>0.19709767448295912</c:v>
                </c:pt>
                <c:pt idx="12">
                  <c:v>0.24777611687929663</c:v>
                </c:pt>
                <c:pt idx="13">
                  <c:v>0.30461230917663479</c:v>
                </c:pt>
                <c:pt idx="14">
                  <c:v>0.36763702715105351</c:v>
                </c:pt>
                <c:pt idx="15">
                  <c:v>0.43688106117721259</c:v>
                </c:pt>
                <c:pt idx="16">
                  <c:v>0.51237521604955294</c:v>
                </c:pt>
                <c:pt idx="17">
                  <c:v>0.59415031080143055</c:v>
                </c:pt>
                <c:pt idx="18">
                  <c:v>0.68223717852217791</c:v>
                </c:pt>
                <c:pt idx="19">
                  <c:v>0.77666666617209035</c:v>
                </c:pt>
                <c:pt idx="20">
                  <c:v>0.87746963439533288</c:v>
                </c:pt>
                <c:pt idx="21">
                  <c:v>0.98467177246483362</c:v>
                </c:pt>
                <c:pt idx="22">
                  <c:v>1.0982858104545967</c:v>
                </c:pt>
                <c:pt idx="23">
                  <c:v>1.2183166870123663</c:v>
                </c:pt>
                <c:pt idx="24">
                  <c:v>1.344769319957301</c:v>
                </c:pt>
                <c:pt idx="25">
                  <c:v>1.4776486061968197</c:v>
                </c:pt>
                <c:pt idx="26">
                  <c:v>1.6169594216436829</c:v>
                </c:pt>
                <c:pt idx="27">
                  <c:v>1.7627066211333124</c:v>
                </c:pt>
                <c:pt idx="28">
                  <c:v>1.9148950383413548</c:v>
                </c:pt>
                <c:pt idx="29">
                  <c:v>2.0735294857014872</c:v>
                </c:pt>
                <c:pt idx="30">
                  <c:v>2.2386147543234749</c:v>
                </c:pt>
                <c:pt idx="31">
                  <c:v>2.4101556139114795</c:v>
                </c:pt>
                <c:pt idx="32">
                  <c:v>2.58815681268262</c:v>
                </c:pt>
                <c:pt idx="33">
                  <c:v>2.7726230772857963</c:v>
                </c:pt>
                <c:pt idx="34">
                  <c:v>2.9635591127207697</c:v>
                </c:pt>
                <c:pt idx="35">
                  <c:v>3.1609696022575111</c:v>
                </c:pt>
                <c:pt idx="36">
                  <c:v>3.3648592073558166</c:v>
                </c:pt>
                <c:pt idx="37">
                  <c:v>3.5752325675851915</c:v>
                </c:pt>
                <c:pt idx="38">
                  <c:v>3.792094300545013</c:v>
                </c:pt>
                <c:pt idx="39">
                  <c:v>4.0154490017849662</c:v>
                </c:pt>
                <c:pt idx="40">
                  <c:v>4.245268372254003</c:v>
                </c:pt>
                <c:pt idx="41">
                  <c:v>4.4815230598689961</c:v>
                </c:pt>
                <c:pt idx="42">
                  <c:v>4.7242155341504413</c:v>
                </c:pt>
                <c:pt idx="43">
                  <c:v>4.9733482628268959</c:v>
                </c:pt>
                <c:pt idx="44">
                  <c:v>5.2289237270389517</c:v>
                </c:pt>
                <c:pt idx="45">
                  <c:v>5.4909444197044968</c:v>
                </c:pt>
                <c:pt idx="46">
                  <c:v>5.7594139932198782</c:v>
                </c:pt>
                <c:pt idx="47">
                  <c:v>6.0343375462237931</c:v>
                </c:pt>
                <c:pt idx="48">
                  <c:v>6.315720474067315</c:v>
                </c:pt>
                <c:pt idx="49">
                  <c:v>6.6035681804072341</c:v>
                </c:pt>
                <c:pt idx="50">
                  <c:v>6.8978860760314129</c:v>
                </c:pt>
                <c:pt idx="51">
                  <c:v>7.1986795777479582</c:v>
                </c:pt>
                <c:pt idx="52">
                  <c:v>7.5059541073332108</c:v>
                </c:pt>
                <c:pt idx="53">
                  <c:v>7.8197150905340074</c:v>
                </c:pt>
                <c:pt idx="54">
                  <c:v>8.1399679561201346</c:v>
                </c:pt>
                <c:pt idx="55">
                  <c:v>8.4667181349832621</c:v>
                </c:pt>
                <c:pt idx="56">
                  <c:v>8.7999710592789864</c:v>
                </c:pt>
                <c:pt idx="57">
                  <c:v>9.1397321616089311</c:v>
                </c:pt>
                <c:pt idx="58">
                  <c:v>9.4860068742401058</c:v>
                </c:pt>
                <c:pt idx="59">
                  <c:v>9.8388006283589799</c:v>
                </c:pt>
                <c:pt idx="60">
                  <c:v>10.198118853357954</c:v>
                </c:pt>
                <c:pt idx="61">
                  <c:v>10.563966976152077</c:v>
                </c:pt>
                <c:pt idx="62">
                  <c:v>10.936350420524066</c:v>
                </c:pt>
                <c:pt idx="63">
                  <c:v>11.31527460649583</c:v>
                </c:pt>
                <c:pt idx="64">
                  <c:v>11.700744949724843</c:v>
                </c:pt>
                <c:pt idx="65">
                  <c:v>12.09276686092384</c:v>
                </c:pt>
                <c:pt idx="66">
                  <c:v>12.491345745302434</c:v>
                </c:pt>
                <c:pt idx="67">
                  <c:v>12.896487002029355</c:v>
                </c:pt>
                <c:pt idx="68">
                  <c:v>13.308196023714103</c:v>
                </c:pt>
                <c:pt idx="69">
                  <c:v>13.726495953160748</c:v>
                </c:pt>
                <c:pt idx="70">
                  <c:v>14.151435309654898</c:v>
                </c:pt>
                <c:pt idx="71">
                  <c:v>14.583070251808925</c:v>
                </c:pt>
                <c:pt idx="72">
                  <c:v>15.021456971123982</c:v>
                </c:pt>
                <c:pt idx="73">
                  <c:v>15.466651691976699</c:v>
                </c:pt>
                <c:pt idx="74">
                  <c:v>15.91871067159725</c:v>
                </c:pt>
                <c:pt idx="75">
                  <c:v>16.37769020003886</c:v>
                </c:pt>
                <c:pt idx="76">
                  <c:v>16.843646600138818</c:v>
                </c:pt>
                <c:pt idx="77">
                  <c:v>17.316603517890766</c:v>
                </c:pt>
                <c:pt idx="78">
                  <c:v>17.796537870571601</c:v>
                </c:pt>
                <c:pt idx="79">
                  <c:v>18.283412515329072</c:v>
                </c:pt>
                <c:pt idx="80">
                  <c:v>18.777190260060998</c:v>
                </c:pt>
                <c:pt idx="81">
                  <c:v>19.277833863478786</c:v>
                </c:pt>
                <c:pt idx="82">
                  <c:v>19.785306035198456</c:v>
                </c:pt>
                <c:pt idx="83">
                  <c:v>20.299569435857503</c:v>
                </c:pt>
                <c:pt idx="84">
                  <c:v>20.820586677256149</c:v>
                </c:pt>
                <c:pt idx="85">
                  <c:v>21.348320322521534</c:v>
                </c:pt>
                <c:pt idx="86">
                  <c:v>21.882737318809799</c:v>
                </c:pt>
                <c:pt idx="87">
                  <c:v>22.423826736940129</c:v>
                </c:pt>
                <c:pt idx="88">
                  <c:v>22.971595356504743</c:v>
                </c:pt>
                <c:pt idx="89">
                  <c:v>23.526049943819491</c:v>
                </c:pt>
                <c:pt idx="90">
                  <c:v>24.087197251647176</c:v>
                </c:pt>
                <c:pt idx="91">
                  <c:v>24.655044018926493</c:v>
                </c:pt>
                <c:pt idx="92">
                  <c:v>25.229596970506371</c:v>
                </c:pt>
                <c:pt idx="93">
                  <c:v>25.810862816885468</c:v>
                </c:pt>
                <c:pt idx="94">
                  <c:v>26.398848253956661</c:v>
                </c:pt>
                <c:pt idx="95">
                  <c:v>26.993559962756301</c:v>
                </c:pt>
                <c:pt idx="96">
                  <c:v>27.595004609218087</c:v>
                </c:pt>
                <c:pt idx="97">
                  <c:v>28.203188843931358</c:v>
                </c:pt>
                <c:pt idx="98">
                  <c:v>28.818119301903657</c:v>
                </c:pt>
                <c:pt idx="99">
                  <c:v>29.439802602327418</c:v>
                </c:pt>
                <c:pt idx="100">
                  <c:v>30.068245348350608</c:v>
                </c:pt>
                <c:pt idx="101">
                  <c:v>30.703454126851195</c:v>
                </c:pt>
                <c:pt idx="102">
                  <c:v>31.345435508215328</c:v>
                </c:pt>
                <c:pt idx="103">
                  <c:v>31.994196046119072</c:v>
                </c:pt>
                <c:pt idx="104">
                  <c:v>32.649742277313599</c:v>
                </c:pt>
                <c:pt idx="105">
                  <c:v>33.312080721413722</c:v>
                </c:pt>
                <c:pt idx="106">
                  <c:v>33.981217880689627</c:v>
                </c:pt>
                <c:pt idx="107">
                  <c:v>34.65716023986176</c:v>
                </c:pt>
                <c:pt idx="108">
                  <c:v>35.339914265898742</c:v>
                </c:pt>
                <c:pt idx="109">
                  <c:v>36.02948640781819</c:v>
                </c:pt>
                <c:pt idx="110">
                  <c:v>36.725883096490385</c:v>
                </c:pt>
                <c:pt idx="111">
                  <c:v>37.429110744444706</c:v>
                </c:pt>
                <c:pt idx="112">
                  <c:v>38.139175745678756</c:v>
                </c:pt>
                <c:pt idx="113">
                  <c:v>38.856084475470048</c:v>
                </c:pt>
                <c:pt idx="114">
                  <c:v>39.579843290190226</c:v>
                </c:pt>
                <c:pt idx="115">
                  <c:v>40.310458527121753</c:v>
                </c:pt>
                <c:pt idx="116">
                  <c:v>41.047936504276976</c:v>
                </c:pt>
                <c:pt idx="117">
                  <c:v>41.792283520219499</c:v>
                </c:pt>
                <c:pt idx="118">
                  <c:v>42.543505853887829</c:v>
                </c:pt>
                <c:pt idx="119">
                  <c:v>43.301609764421201</c:v>
                </c:pt>
                <c:pt idx="120">
                  <c:v>44.066601490987566</c:v>
                </c:pt>
                <c:pt idx="121">
                  <c:v>44.838487252613653</c:v>
                </c:pt>
                <c:pt idx="122">
                  <c:v>45.617273248017078</c:v>
                </c:pt>
                <c:pt idx="123">
                  <c:v>46.402965655440411</c:v>
                </c:pt>
                <c:pt idx="124">
                  <c:v>47.195570632487225</c:v>
                </c:pt>
                <c:pt idx="125">
                  <c:v>47.995094315959989</c:v>
                </c:pt>
                <c:pt idx="126">
                  <c:v>48.801542821699847</c:v>
                </c:pt>
                <c:pt idx="127">
                  <c:v>49.6149222444282</c:v>
                </c:pt>
                <c:pt idx="128">
                  <c:v>50.435238657590027</c:v>
                </c:pt>
                <c:pt idx="129">
                  <c:v>51.262498113198973</c:v>
                </c:pt>
                <c:pt idx="130">
                  <c:v>52.096706641684108</c:v>
                </c:pt>
                <c:pt idx="131">
                  <c:v>52.937870251738339</c:v>
                </c:pt>
                <c:pt idx="132">
                  <c:v>53.785994930168464</c:v>
                </c:pt>
                <c:pt idx="133">
                  <c:v>54.641086641746789</c:v>
                </c:pt>
                <c:pt idx="134">
                  <c:v>55.503151329064345</c:v>
                </c:pt>
                <c:pt idx="135">
                  <c:v>56.372194912385602</c:v>
                </c:pt>
                <c:pt idx="136">
                  <c:v>57.248223289504686</c:v>
                </c:pt>
                <c:pt idx="137">
                  <c:v>58.131242335603091</c:v>
                </c:pt>
                <c:pt idx="138">
                  <c:v>59.021257903108818</c:v>
                </c:pt>
                <c:pt idx="139">
                  <c:v>59.918275821556954</c:v>
                </c:pt>
                <c:pt idx="140">
                  <c:v>60.822301897451638</c:v>
                </c:pt>
                <c:pt idx="141">
                  <c:v>61.733341914129397</c:v>
                </c:pt>
                <c:pt idx="142">
                  <c:v>62.651401631623862</c:v>
                </c:pt>
                <c:pt idx="143">
                  <c:v>63.576486786531774</c:v>
                </c:pt>
                <c:pt idx="144">
                  <c:v>64.508603091880332</c:v>
                </c:pt>
                <c:pt idx="145">
                  <c:v>65.447756236995815</c:v>
                </c:pt>
                <c:pt idx="146">
                  <c:v>66.393951887373518</c:v>
                </c:pt>
                <c:pt idx="147">
                  <c:v>67.347195684548865</c:v>
                </c:pt>
                <c:pt idx="148">
                  <c:v>68.307493245969823</c:v>
                </c:pt>
                <c:pt idx="149">
                  <c:v>69.274850164870514</c:v>
                </c:pt>
                <c:pt idx="150">
                  <c:v>70.249272010146015</c:v>
                </c:pt>
                <c:pt idx="151">
                  <c:v>71.230764326228382</c:v>
                </c:pt>
                <c:pt idx="152">
                  <c:v>72.219332632963827</c:v>
                </c:pt>
                <c:pt idx="153">
                  <c:v>73.214982425491044</c:v>
                </c:pt>
                <c:pt idx="154">
                  <c:v>74.217719174120688</c:v>
                </c:pt>
                <c:pt idx="155">
                  <c:v>75.227548324216002</c:v>
                </c:pt>
                <c:pt idx="156">
                  <c:v>76.24447529607454</c:v>
                </c:pt>
                <c:pt idx="157">
                  <c:v>77.268505484811001</c:v>
                </c:pt>
                <c:pt idx="158">
                  <c:v>78.299644260241209</c:v>
                </c:pt>
                <c:pt idx="159">
                  <c:v>79.337896966767062</c:v>
                </c:pt>
                <c:pt idx="160">
                  <c:v>80.383268923262705</c:v>
                </c:pt>
                <c:pt idx="161">
                  <c:v>81.435765422961623</c:v>
                </c:pt>
                <c:pt idx="162">
                  <c:v>82.495391733344903</c:v>
                </c:pt>
                <c:pt idx="163">
                  <c:v>83.562153096030471</c:v>
                </c:pt>
                <c:pt idx="164">
                  <c:v>84.636054726663374</c:v>
                </c:pt>
                <c:pt idx="165">
                  <c:v>85.717101814807137</c:v>
                </c:pt>
                <c:pt idx="166">
                  <c:v>86.805299523836055</c:v>
                </c:pt>
                <c:pt idx="167">
                  <c:v>87.900652990828576</c:v>
                </c:pt>
                <c:pt idx="168">
                  <c:v>89.003167326461664</c:v>
                </c:pt>
                <c:pt idx="169">
                  <c:v>90.112847614906087</c:v>
                </c:pt>
                <c:pt idx="170">
                  <c:v>91.229698913722814</c:v>
                </c:pt>
                <c:pt idx="171">
                  <c:v>92.3537262537603</c:v>
                </c:pt>
                <c:pt idx="172">
                  <c:v>93.48493463905281</c:v>
                </c:pt>
                <c:pt idx="173">
                  <c:v>94.623329046719618</c:v>
                </c:pt>
                <c:pt idx="174">
                  <c:v>95.768914426865308</c:v>
                </c:pt>
                <c:pt idx="175">
                  <c:v>96.921695702480889</c:v>
                </c:pt>
                <c:pt idx="176">
                  <c:v>98.081677769345987</c:v>
                </c:pt>
                <c:pt idx="177">
                  <c:v>99.248865495931881</c:v>
                </c:pt>
                <c:pt idx="178">
                  <c:v>100.42326372330557</c:v>
                </c:pt>
                <c:pt idx="179">
                  <c:v>101.60487726503467</c:v>
                </c:pt>
                <c:pt idx="180">
                  <c:v>102.79371090709337</c:v>
                </c:pt>
                <c:pt idx="181">
                  <c:v>103.98976940776923</c:v>
                </c:pt>
                <c:pt idx="182">
                  <c:v>105.1930574975709</c:v>
                </c:pt>
                <c:pt idx="183">
                  <c:v>106.40357987913686</c:v>
                </c:pt>
                <c:pt idx="184">
                  <c:v>107.6213412271449</c:v>
                </c:pt>
                <c:pt idx="185">
                  <c:v>108.8463461882227</c:v>
                </c:pt>
                <c:pt idx="186">
                  <c:v>110.07859938085919</c:v>
                </c:pt>
                <c:pt idx="187">
                  <c:v>111.31810539531691</c:v>
                </c:pt>
                <c:pt idx="188">
                  <c:v>112.56486879354514</c:v>
                </c:pt>
                <c:pt idx="189">
                  <c:v>113.81889410909413</c:v>
                </c:pt>
                <c:pt idx="190">
                  <c:v>115.08018584703002</c:v>
                </c:pt>
                <c:pt idx="191">
                  <c:v>116.34874848385078</c:v>
                </c:pt>
                <c:pt idx="192">
                  <c:v>117.62458646740303</c:v>
                </c:pt>
                <c:pt idx="193">
                  <c:v>118.90770421679971</c:v>
                </c:pt>
                <c:pt idx="194">
                  <c:v>120.19810612233867</c:v>
                </c:pt>
                <c:pt idx="195">
                  <c:v>121.49579654542211</c:v>
                </c:pt>
                <c:pt idx="196">
                  <c:v>122.80077981847698</c:v>
                </c:pt>
                <c:pt idx="197">
                  <c:v>124.11306024487618</c:v>
                </c:pt>
                <c:pt idx="198">
                  <c:v>125.43264209886067</c:v>
                </c:pt>
                <c:pt idx="199">
                  <c:v>126.75952962546245</c:v>
                </c:pt>
                <c:pt idx="200">
                  <c:v>128.09372704042849</c:v>
                </c:pt>
                <c:pt idx="201">
                  <c:v>129.43523853014537</c:v>
                </c:pt>
                <c:pt idx="202">
                  <c:v>130.784068251565</c:v>
                </c:pt>
                <c:pt idx="203">
                  <c:v>132.14022033213104</c:v>
                </c:pt>
                <c:pt idx="204">
                  <c:v>133.50369886970631</c:v>
                </c:pt>
                <c:pt idx="205">
                  <c:v>134.87450793250099</c:v>
                </c:pt>
                <c:pt idx="206">
                  <c:v>136.25265155900172</c:v>
                </c:pt>
                <c:pt idx="207">
                  <c:v>137.63813375790161</c:v>
                </c:pt>
                <c:pt idx="208">
                  <c:v>139.03095850803103</c:v>
                </c:pt>
                <c:pt idx="209">
                  <c:v>140.43112975828936</c:v>
                </c:pt>
                <c:pt idx="210">
                  <c:v>141.8386514275775</c:v>
                </c:pt>
                <c:pt idx="211">
                  <c:v>143.25352740473141</c:v>
                </c:pt>
                <c:pt idx="212">
                  <c:v>144.67576154845631</c:v>
                </c:pt>
                <c:pt idx="213">
                  <c:v>146.10535768726186</c:v>
                </c:pt>
                <c:pt idx="214">
                  <c:v>147.54231961939826</c:v>
                </c:pt>
                <c:pt idx="215">
                  <c:v>148.98665111279308</c:v>
                </c:pt>
                <c:pt idx="216">
                  <c:v>150.43835590498904</c:v>
                </c:pt>
                <c:pt idx="217">
                  <c:v>151.89743770308257</c:v>
                </c:pt>
                <c:pt idx="218">
                  <c:v>153.36390018366342</c:v>
                </c:pt>
                <c:pt idx="219">
                  <c:v>154.83774699275489</c:v>
                </c:pt>
                <c:pt idx="220">
                  <c:v>156.31898174575505</c:v>
                </c:pt>
                <c:pt idx="221">
                  <c:v>157.80760802737888</c:v>
                </c:pt>
                <c:pt idx="222">
                  <c:v>159.30362939160105</c:v>
                </c:pt>
                <c:pt idx="223">
                  <c:v>160.80704936159989</c:v>
                </c:pt>
                <c:pt idx="224">
                  <c:v>162.31787142970188</c:v>
                </c:pt>
                <c:pt idx="225">
                  <c:v>163.83609905732729</c:v>
                </c:pt>
                <c:pt idx="226">
                  <c:v>165.36173567493643</c:v>
                </c:pt>
                <c:pt idx="227">
                  <c:v>166.89478468197697</c:v>
                </c:pt>
                <c:pt idx="228">
                  <c:v>168.43524944683202</c:v>
                </c:pt>
                <c:pt idx="229">
                  <c:v>169.98313330676905</c:v>
                </c:pt>
                <c:pt idx="230">
                  <c:v>171.53843956788972</c:v>
                </c:pt>
                <c:pt idx="231">
                  <c:v>173.1011715050806</c:v>
                </c:pt>
                <c:pt idx="232">
                  <c:v>174.67133236196466</c:v>
                </c:pt>
                <c:pt idx="233">
                  <c:v>176.24892535085368</c:v>
                </c:pt>
                <c:pt idx="234">
                  <c:v>177.83395365270155</c:v>
                </c:pt>
                <c:pt idx="235">
                  <c:v>179.42642041705832</c:v>
                </c:pt>
                <c:pt idx="236">
                  <c:v>181.02632876202529</c:v>
                </c:pt>
                <c:pt idx="237">
                  <c:v>182.63368177421074</c:v>
                </c:pt>
                <c:pt idx="238">
                  <c:v>184.24848250868678</c:v>
                </c:pt>
                <c:pt idx="239">
                  <c:v>185.8707339889468</c:v>
                </c:pt>
                <c:pt idx="240">
                  <c:v>187.50043920686397</c:v>
                </c:pt>
                <c:pt idx="241">
                  <c:v>189.13760112265055</c:v>
                </c:pt>
                <c:pt idx="242">
                  <c:v>190.78222266481805</c:v>
                </c:pt>
                <c:pt idx="243">
                  <c:v>192.43430673013827</c:v>
                </c:pt>
                <c:pt idx="244">
                  <c:v>194.0938743296189</c:v>
                </c:pt>
                <c:pt idx="245">
                  <c:v>195.76096459640894</c:v>
                </c:pt>
                <c:pt idx="246">
                  <c:v>197.43561664759437</c:v>
                </c:pt>
                <c:pt idx="247">
                  <c:v>199.11786958396672</c:v>
                </c:pt>
                <c:pt idx="248">
                  <c:v>200.80776248978884</c:v>
                </c:pt>
                <c:pt idx="249">
                  <c:v>202.50533443255796</c:v>
                </c:pt>
                <c:pt idx="250">
                  <c:v>204.21062446276582</c:v>
                </c:pt>
                <c:pt idx="251">
                  <c:v>205.92367161365613</c:v>
                </c:pt>
                <c:pt idx="252">
                  <c:v>207.64451490097915</c:v>
                </c:pt>
                <c:pt idx="253">
                  <c:v>209.3731832852506</c:v>
                </c:pt>
                <c:pt idx="254">
                  <c:v>211.10968562359071</c:v>
                </c:pt>
                <c:pt idx="255">
                  <c:v>212.85402069765519</c:v>
                </c:pt>
                <c:pt idx="256">
                  <c:v>214.6061872521197</c:v>
                </c:pt>
                <c:pt idx="257">
                  <c:v>216.36618399470018</c:v>
                </c:pt>
                <c:pt idx="258">
                  <c:v>218.13400959617448</c:v>
                </c:pt>
                <c:pt idx="259">
                  <c:v>219.90966269040521</c:v>
                </c:pt>
                <c:pt idx="260">
                  <c:v>221.69314187436356</c:v>
                </c:pt>
                <c:pt idx="261">
                  <c:v>223.48444570815437</c:v>
                </c:pt>
                <c:pt idx="262">
                  <c:v>225.28357271504234</c:v>
                </c:pt>
                <c:pt idx="263">
                  <c:v>227.09052138147933</c:v>
                </c:pt>
                <c:pt idx="264">
                  <c:v>228.90529015713281</c:v>
                </c:pt>
                <c:pt idx="265">
                  <c:v>230.72787745491542</c:v>
                </c:pt>
                <c:pt idx="266">
                  <c:v>232.55828165101565</c:v>
                </c:pt>
                <c:pt idx="267">
                  <c:v>234.3965010849297</c:v>
                </c:pt>
                <c:pt idx="268">
                  <c:v>236.24253405949432</c:v>
                </c:pt>
                <c:pt idx="269">
                  <c:v>238.09637884092092</c:v>
                </c:pt>
                <c:pt idx="270">
                  <c:v>239.95803365883069</c:v>
                </c:pt>
                <c:pt idx="271">
                  <c:v>241.82749670629079</c:v>
                </c:pt>
                <c:pt idx="272">
                  <c:v>243.70476613985181</c:v>
                </c:pt>
                <c:pt idx="273">
                  <c:v>245.58984007958608</c:v>
                </c:pt>
                <c:pt idx="274">
                  <c:v>247.48271660912732</c:v>
                </c:pt>
                <c:pt idx="275">
                  <c:v>249.38339377571117</c:v>
                </c:pt>
                <c:pt idx="276">
                  <c:v>251.29186959021695</c:v>
                </c:pt>
                <c:pt idx="277">
                  <c:v>253.20814153835099</c:v>
                </c:pt>
                <c:pt idx="278">
                  <c:v>255.13220584680195</c:v>
                </c:pt>
                <c:pt idx="279">
                  <c:v>257.06405797173414</c:v>
                </c:pt>
                <c:pt idx="280">
                  <c:v>259.0036933323297</c:v>
                </c:pt>
                <c:pt idx="281">
                  <c:v>260.95110731087317</c:v>
                </c:pt>
                <c:pt idx="282">
                  <c:v>262.90629525283737</c:v>
                </c:pt>
                <c:pt idx="283">
                  <c:v>264.86925246697018</c:v>
                </c:pt>
                <c:pt idx="284">
                  <c:v>266.83997422538255</c:v>
                </c:pt>
                <c:pt idx="285">
                  <c:v>268.81845576363742</c:v>
                </c:pt>
                <c:pt idx="286">
                  <c:v>270.80469228083984</c:v>
                </c:pt>
                <c:pt idx="287">
                  <c:v>272.79867893972812</c:v>
                </c:pt>
                <c:pt idx="288">
                  <c:v>274.80041086676601</c:v>
                </c:pt>
                <c:pt idx="289">
                  <c:v>276.80988315223601</c:v>
                </c:pt>
                <c:pt idx="290">
                  <c:v>278.82709085033372</c:v>
                </c:pt>
                <c:pt idx="291">
                  <c:v>280.85202897926303</c:v>
                </c:pt>
                <c:pt idx="292">
                  <c:v>282.88469252133262</c:v>
                </c:pt>
                <c:pt idx="293">
                  <c:v>284.92507642305338</c:v>
                </c:pt>
                <c:pt idx="294">
                  <c:v>286.97317559523674</c:v>
                </c:pt>
                <c:pt idx="295">
                  <c:v>289.02898491309418</c:v>
                </c:pt>
                <c:pt idx="296">
                  <c:v>291.09249921633767</c:v>
                </c:pt>
                <c:pt idx="297">
                  <c:v>293.16371330928121</c:v>
                </c:pt>
                <c:pt idx="298">
                  <c:v>295.24262196094304</c:v>
                </c:pt>
                <c:pt idx="299">
                  <c:v>297.32921990514927</c:v>
                </c:pt>
                <c:pt idx="300">
                  <c:v>299.42350184063832</c:v>
                </c:pt>
                <c:pt idx="301">
                  <c:v>301.52546243116609</c:v>
                </c:pt>
                <c:pt idx="302">
                  <c:v>303.63509630561259</c:v>
                </c:pt>
                <c:pt idx="303">
                  <c:v>305.75239805808911</c:v>
                </c:pt>
                <c:pt idx="304">
                  <c:v>307.8773622480465</c:v>
                </c:pt>
                <c:pt idx="305">
                  <c:v>310.00998340038433</c:v>
                </c:pt>
                <c:pt idx="306">
                  <c:v>312.15025600556129</c:v>
                </c:pt>
                <c:pt idx="307">
                  <c:v>314.29817451970604</c:v>
                </c:pt>
                <c:pt idx="308">
                  <c:v>316.45373336472932</c:v>
                </c:pt>
                <c:pt idx="309">
                  <c:v>318.61692692843701</c:v>
                </c:pt>
                <c:pt idx="310">
                  <c:v>320.78774956464389</c:v>
                </c:pt>
                <c:pt idx="311">
                  <c:v>322.96619559328838</c:v>
                </c:pt>
                <c:pt idx="312">
                  <c:v>325.15225930054828</c:v>
                </c:pt>
                <c:pt idx="313">
                  <c:v>327.34593493895738</c:v>
                </c:pt>
                <c:pt idx="314">
                  <c:v>329.54721672752288</c:v>
                </c:pt>
                <c:pt idx="315">
                  <c:v>331.7560988518436</c:v>
                </c:pt>
                <c:pt idx="316">
                  <c:v>333.97257546422952</c:v>
                </c:pt>
                <c:pt idx="317">
                  <c:v>336.1966406838215</c:v>
                </c:pt>
                <c:pt idx="318">
                  <c:v>338.42828859671243</c:v>
                </c:pt>
                <c:pt idx="319">
                  <c:v>340.66751325606907</c:v>
                </c:pt>
                <c:pt idx="320">
                  <c:v>342.91430868225456</c:v>
                </c:pt>
                <c:pt idx="321">
                  <c:v>345.1686688629519</c:v>
                </c:pt>
                <c:pt idx="322">
                  <c:v>347.43058775328842</c:v>
                </c:pt>
                <c:pt idx="323">
                  <c:v>349.70005927596083</c:v>
                </c:pt>
                <c:pt idx="324">
                  <c:v>351.97707732136115</c:v>
                </c:pt>
                <c:pt idx="325">
                  <c:v>354.26163574770351</c:v>
                </c:pt>
                <c:pt idx="326">
                  <c:v>356.55372838115181</c:v>
                </c:pt>
                <c:pt idx="327">
                  <c:v>358.85334901594808</c:v>
                </c:pt>
                <c:pt idx="328">
                  <c:v>361.16049141454153</c:v>
                </c:pt>
                <c:pt idx="329">
                  <c:v>363.4751493077186</c:v>
                </c:pt>
                <c:pt idx="330">
                  <c:v>365.79731639473368</c:v>
                </c:pt>
                <c:pt idx="331">
                  <c:v>368.12698634344076</c:v>
                </c:pt>
                <c:pt idx="332">
                  <c:v>370.46415279042537</c:v>
                </c:pt>
                <c:pt idx="333">
                  <c:v>372.80880934113793</c:v>
                </c:pt>
                <c:pt idx="334">
                  <c:v>375.16094957002736</c:v>
                </c:pt>
                <c:pt idx="335">
                  <c:v>377.52056702067557</c:v>
                </c:pt>
                <c:pt idx="336">
                  <c:v>379.88765520593284</c:v>
                </c:pt>
                <c:pt idx="337">
                  <c:v>382.2622076080537</c:v>
                </c:pt>
                <c:pt idx="338">
                  <c:v>384.64421767883363</c:v>
                </c:pt>
                <c:pt idx="339">
                  <c:v>387.03367883974653</c:v>
                </c:pt>
                <c:pt idx="340">
                  <c:v>389.43058448208274</c:v>
                </c:pt>
                <c:pt idx="341">
                  <c:v>391.83492796708799</c:v>
                </c:pt>
                <c:pt idx="342">
                  <c:v>394.24670262610277</c:v>
                </c:pt>
                <c:pt idx="343">
                  <c:v>396.66590176070264</c:v>
                </c:pt>
                <c:pt idx="344">
                  <c:v>399.09251905555942</c:v>
                </c:pt>
                <c:pt idx="345">
                  <c:v>401.52655229540341</c:v>
                </c:pt>
                <c:pt idx="346">
                  <c:v>403.9680029523476</c:v>
                </c:pt>
                <c:pt idx="347">
                  <c:v>406.41687246905366</c:v>
                </c:pt>
                <c:pt idx="348">
                  <c:v>408.87316225875742</c:v>
                </c:pt>
                <c:pt idx="349">
                  <c:v>411.33687370529537</c:v>
                </c:pt>
                <c:pt idx="350">
                  <c:v>413.8080081631316</c:v>
                </c:pt>
                <c:pt idx="351">
                  <c:v>416.28656695738573</c:v>
                </c:pt>
                <c:pt idx="352">
                  <c:v>418.77255138386136</c:v>
                </c:pt>
                <c:pt idx="353">
                  <c:v>421.2659627090755</c:v>
                </c:pt>
                <c:pt idx="354">
                  <c:v>423.76680217028837</c:v>
                </c:pt>
                <c:pt idx="355">
                  <c:v>426.27507097553433</c:v>
                </c:pt>
                <c:pt idx="356">
                  <c:v>428.79077030365323</c:v>
                </c:pt>
                <c:pt idx="357">
                  <c:v>431.31390130432266</c:v>
                </c:pt>
                <c:pt idx="358">
                  <c:v>433.84446509809072</c:v>
                </c:pt>
                <c:pt idx="359">
                  <c:v>436.38246277640991</c:v>
                </c:pt>
                <c:pt idx="360">
                  <c:v>438.92789540167132</c:v>
                </c:pt>
                <c:pt idx="361">
                  <c:v>441.48076400723971</c:v>
                </c:pt>
                <c:pt idx="362">
                  <c:v>444.04106959748941</c:v>
                </c:pt>
                <c:pt idx="363">
                  <c:v>446.60881314784081</c:v>
                </c:pt>
                <c:pt idx="364">
                  <c:v>449.18399560479753</c:v>
                </c:pt>
                <c:pt idx="365">
                  <c:v>451.76661788598454</c:v>
                </c:pt>
                <c:pt idx="366">
                  <c:v>454.35668088018673</c:v>
                </c:pt>
                <c:pt idx="367">
                  <c:v>456.95418544738828</c:v>
                </c:pt>
                <c:pt idx="368">
                  <c:v>459.55913241881296</c:v>
                </c:pt>
                <c:pt idx="369">
                  <c:v>462.17152259696473</c:v>
                </c:pt>
                <c:pt idx="370">
                  <c:v>464.79135675566948</c:v>
                </c:pt>
                <c:pt idx="371">
                  <c:v>467.41863564011715</c:v>
                </c:pt>
                <c:pt idx="372">
                  <c:v>470.05335996690474</c:v>
                </c:pt>
                <c:pt idx="373">
                  <c:v>472.69552771837709</c:v>
                </c:pt>
                <c:pt idx="374">
                  <c:v>475.34513414303802</c:v>
                </c:pt>
                <c:pt idx="375">
                  <c:v>478.00217446170257</c:v>
                </c:pt>
                <c:pt idx="376">
                  <c:v>480.66664386761801</c:v>
                </c:pt>
                <c:pt idx="377">
                  <c:v>483.33853752658592</c:v>
                </c:pt>
                <c:pt idx="378">
                  <c:v>486.01785057708435</c:v>
                </c:pt>
                <c:pt idx="379">
                  <c:v>488.70457813039098</c:v>
                </c:pt>
                <c:pt idx="380">
                  <c:v>491.39871527070659</c:v>
                </c:pt>
                <c:pt idx="381">
                  <c:v>494.10025705527931</c:v>
                </c:pt>
                <c:pt idx="382">
                  <c:v>496.80919851452944</c:v>
                </c:pt>
                <c:pt idx="383">
                  <c:v>499.52553465217483</c:v>
                </c:pt>
                <c:pt idx="384">
                  <c:v>502.24926044535664</c:v>
                </c:pt>
                <c:pt idx="385">
                  <c:v>504.98037084476618</c:v>
                </c:pt>
                <c:pt idx="386">
                  <c:v>507.71886077477166</c:v>
                </c:pt>
                <c:pt idx="387">
                  <c:v>510.46472513354604</c:v>
                </c:pt>
                <c:pt idx="388">
                  <c:v>513.21795879319507</c:v>
                </c:pt>
                <c:pt idx="389">
                  <c:v>515.97855659988625</c:v>
                </c:pt>
                <c:pt idx="390">
                  <c:v>518.7465133739779</c:v>
                </c:pt>
                <c:pt idx="391">
                  <c:v>521.52182391014901</c:v>
                </c:pt>
                <c:pt idx="392">
                  <c:v>524.30448297752969</c:v>
                </c:pt>
                <c:pt idx="393">
                  <c:v>527.09448531983196</c:v>
                </c:pt>
                <c:pt idx="394">
                  <c:v>529.89182565548128</c:v>
                </c:pt>
                <c:pt idx="395">
                  <c:v>532.6964986777482</c:v>
                </c:pt>
                <c:pt idx="396">
                  <c:v>535.50849905488099</c:v>
                </c:pt>
                <c:pt idx="397">
                  <c:v>538.3278214302386</c:v>
                </c:pt>
                <c:pt idx="398">
                  <c:v>541.15446042242388</c:v>
                </c:pt>
                <c:pt idx="399">
                  <c:v>543.9884106254176</c:v>
                </c:pt>
                <c:pt idx="400">
                  <c:v>546.82966660871284</c:v>
                </c:pt>
                <c:pt idx="401">
                  <c:v>549.67822291744983</c:v>
                </c:pt>
                <c:pt idx="402">
                  <c:v>552.53407407255133</c:v>
                </c:pt>
                <c:pt idx="403">
                  <c:v>555.39721457085841</c:v>
                </c:pt>
                <c:pt idx="404">
                  <c:v>558.26763888526659</c:v>
                </c:pt>
                <c:pt idx="405">
                  <c:v>561.1453414648629</c:v>
                </c:pt>
                <c:pt idx="406">
                  <c:v>564.0303167350628</c:v>
                </c:pt>
                <c:pt idx="407">
                  <c:v>566.92255909774769</c:v>
                </c:pt>
                <c:pt idx="408">
                  <c:v>569.82206293140325</c:v>
                </c:pt>
                <c:pt idx="409">
                  <c:v>572.72881953016315</c:v>
                </c:pt>
                <c:pt idx="410">
                  <c:v>575.6428163391414</c:v>
                </c:pt>
                <c:pt idx="411">
                  <c:v>578.56404001697092</c:v>
                </c:pt>
                <c:pt idx="412">
                  <c:v>581.49247720211542</c:v>
                </c:pt>
                <c:pt idx="413">
                  <c:v>584.42811451313173</c:v>
                </c:pt>
                <c:pt idx="414">
                  <c:v>587.3709385489326</c:v>
                </c:pt>
                <c:pt idx="415">
                  <c:v>590.32093588904911</c:v>
                </c:pt>
                <c:pt idx="416">
                  <c:v>593.27809309389295</c:v>
                </c:pt>
                <c:pt idx="417">
                  <c:v>596.24239670501879</c:v>
                </c:pt>
                <c:pt idx="418">
                  <c:v>599.21383324538624</c:v>
                </c:pt>
                <c:pt idx="419">
                  <c:v>602.19238921962199</c:v>
                </c:pt>
                <c:pt idx="420">
                  <c:v>605.17805111428163</c:v>
                </c:pt>
                <c:pt idx="421">
                  <c:v>608.1708053981115</c:v>
                </c:pt>
                <c:pt idx="422">
                  <c:v>611.17063852231001</c:v>
                </c:pt>
                <c:pt idx="423">
                  <c:v>614.17753692078929</c:v>
                </c:pt>
                <c:pt idx="424">
                  <c:v>617.19148701043616</c:v>
                </c:pt>
                <c:pt idx="425">
                  <c:v>620.21247519137319</c:v>
                </c:pt>
                <c:pt idx="426">
                  <c:v>623.24048784721958</c:v>
                </c:pt>
                <c:pt idx="427">
                  <c:v>626.27551134535156</c:v>
                </c:pt>
                <c:pt idx="428">
                  <c:v>629.31753203716289</c:v>
                </c:pt>
                <c:pt idx="429">
                  <c:v>632.36653625832491</c:v>
                </c:pt>
                <c:pt idx="430">
                  <c:v>635.42251032904619</c:v>
                </c:pt>
                <c:pt idx="431">
                  <c:v>638.48544055433229</c:v>
                </c:pt>
                <c:pt idx="432">
                  <c:v>641.55531322424508</c:v>
                </c:pt>
                <c:pt idx="433">
                  <c:v>644.63211461416165</c:v>
                </c:pt>
                <c:pt idx="434">
                  <c:v>647.71583098503299</c:v>
                </c:pt>
                <c:pt idx="435">
                  <c:v>650.80644858364246</c:v>
                </c:pt>
                <c:pt idx="436">
                  <c:v>653.90395364286383</c:v>
                </c:pt>
                <c:pt idx="437">
                  <c:v>657.00833238191899</c:v>
                </c:pt>
                <c:pt idx="438">
                  <c:v>660.1195710066354</c:v>
                </c:pt>
                <c:pt idx="439">
                  <c:v>663.23765570970318</c:v>
                </c:pt>
                <c:pt idx="440">
                  <c:v>666.36257267093174</c:v>
                </c:pt>
                <c:pt idx="441">
                  <c:v>669.49430805750615</c:v>
                </c:pt>
                <c:pt idx="442">
                  <c:v>672.63284802424289</c:v>
                </c:pt>
                <c:pt idx="443">
                  <c:v>675.77817871384559</c:v>
                </c:pt>
                <c:pt idx="444">
                  <c:v>678.93028625716022</c:v>
                </c:pt>
                <c:pt idx="445">
                  <c:v>682.08915677342952</c:v>
                </c:pt>
                <c:pt idx="446">
                  <c:v>685.25477637054757</c:v>
                </c:pt>
                <c:pt idx="447">
                  <c:v>688.42713114531364</c:v>
                </c:pt>
                <c:pt idx="448">
                  <c:v>691.60620718368534</c:v>
                </c:pt>
                <c:pt idx="449">
                  <c:v>694.79199056103187</c:v>
                </c:pt>
                <c:pt idx="450">
                  <c:v>697.98446734238644</c:v>
                </c:pt>
                <c:pt idx="451">
                  <c:v>701.18362358269826</c:v>
                </c:pt>
                <c:pt idx="452">
                  <c:v>704.38944532708422</c:v>
                </c:pt>
                <c:pt idx="453">
                  <c:v>707.60191861107967</c:v>
                </c:pt>
                <c:pt idx="454">
                  <c:v>710.82102946088935</c:v>
                </c:pt>
                <c:pt idx="455">
                  <c:v>714.04676389363703</c:v>
                </c:pt>
                <c:pt idx="456">
                  <c:v>717.27910791761542</c:v>
                </c:pt>
                <c:pt idx="457">
                  <c:v>720.51804753253498</c:v>
                </c:pt>
                <c:pt idx="458">
                  <c:v>723.76356872977237</c:v>
                </c:pt>
                <c:pt idx="459">
                  <c:v>727.01565749261829</c:v>
                </c:pt>
                <c:pt idx="460">
                  <c:v>730.27429979652504</c:v>
                </c:pt>
                <c:pt idx="461">
                  <c:v>733.53948160935317</c:v>
                </c:pt>
                <c:pt idx="462">
                  <c:v>736.81118889161769</c:v>
                </c:pt>
                <c:pt idx="463">
                  <c:v>740.08940759673385</c:v>
                </c:pt>
                <c:pt idx="464">
                  <c:v>743.37412367126205</c:v>
                </c:pt>
                <c:pt idx="465">
                  <c:v>746.66532305515216</c:v>
                </c:pt>
                <c:pt idx="466">
                  <c:v>749.96299168198766</c:v>
                </c:pt>
                <c:pt idx="467">
                  <c:v>753.26711547922866</c:v>
                </c:pt>
                <c:pt idx="468">
                  <c:v>756.57768036845459</c:v>
                </c:pt>
                <c:pt idx="469">
                  <c:v>759.89467226560612</c:v>
                </c:pt>
                <c:pt idx="470">
                  <c:v>763.21807708122628</c:v>
                </c:pt>
                <c:pt idx="471">
                  <c:v>766.54788072070153</c:v>
                </c:pt>
                <c:pt idx="472">
                  <c:v>769.88406908450156</c:v>
                </c:pt>
                <c:pt idx="473">
                  <c:v>773.22662806841856</c:v>
                </c:pt>
                <c:pt idx="474">
                  <c:v>776.57554356380604</c:v>
                </c:pt>
                <c:pt idx="475">
                  <c:v>779.93080145781676</c:v>
                </c:pt>
                <c:pt idx="476">
                  <c:v>783.29238763364003</c:v>
                </c:pt>
                <c:pt idx="477">
                  <c:v>786.6602879707383</c:v>
                </c:pt>
                <c:pt idx="478">
                  <c:v>790.03448834508322</c:v>
                </c:pt>
                <c:pt idx="479">
                  <c:v>793.4149746293906</c:v>
                </c:pt>
                <c:pt idx="480">
                  <c:v>796.80173269335512</c:v>
                </c:pt>
                <c:pt idx="481">
                  <c:v>800.19474840388386</c:v>
                </c:pt>
                <c:pt idx="482">
                  <c:v>803.59400762532948</c:v>
                </c:pt>
                <c:pt idx="483">
                  <c:v>806.99949621972257</c:v>
                </c:pt>
                <c:pt idx="484">
                  <c:v>810.41120004700292</c:v>
                </c:pt>
                <c:pt idx="485">
                  <c:v>813.82910496525051</c:v>
                </c:pt>
                <c:pt idx="486">
                  <c:v>817.2531968309155</c:v>
                </c:pt>
                <c:pt idx="487">
                  <c:v>820.68346149904744</c:v>
                </c:pt>
                <c:pt idx="488">
                  <c:v>824.11988482352376</c:v>
                </c:pt>
                <c:pt idx="489">
                  <c:v>827.5624526572775</c:v>
                </c:pt>
                <c:pt idx="490">
                  <c:v>831.01115085252411</c:v>
                </c:pt>
                <c:pt idx="491">
                  <c:v>834.46596526098767</c:v>
                </c:pt>
                <c:pt idx="492">
                  <c:v>837.92688173412637</c:v>
                </c:pt>
                <c:pt idx="493">
                  <c:v>841.39388612335665</c:v>
                </c:pt>
                <c:pt idx="494">
                  <c:v>844.86696428027733</c:v>
                </c:pt>
                <c:pt idx="495">
                  <c:v>848.34610205689194</c:v>
                </c:pt>
                <c:pt idx="496">
                  <c:v>851.83128530583144</c:v>
                </c:pt>
                <c:pt idx="497">
                  <c:v>855.32249889427737</c:v>
                </c:pt>
                <c:pt idx="498">
                  <c:v>858.81972571805409</c:v>
                </c:pt>
                <c:pt idx="499">
                  <c:v>862.32294768994632</c:v>
                </c:pt>
                <c:pt idx="500">
                  <c:v>865.83214672787699</c:v>
                </c:pt>
                <c:pt idx="501">
                  <c:v>869.3473047551829</c:v>
                </c:pt>
                <c:pt idx="502">
                  <c:v>872.86840370088896</c:v>
                </c:pt>
                <c:pt idx="503">
                  <c:v>876.39542549998146</c:v>
                </c:pt>
                <c:pt idx="504">
                  <c:v>879.92835209367956</c:v>
                </c:pt>
                <c:pt idx="505">
                  <c:v>883.46716542970603</c:v>
                </c:pt>
                <c:pt idx="506">
                  <c:v>887.01184746255592</c:v>
                </c:pt>
                <c:pt idx="507">
                  <c:v>890.56238015376402</c:v>
                </c:pt>
                <c:pt idx="508">
                  <c:v>894.11874547217155</c:v>
                </c:pt>
                <c:pt idx="509">
                  <c:v>897.68092539419058</c:v>
                </c:pt>
                <c:pt idx="510">
                  <c:v>901.24890190406768</c:v>
                </c:pt>
                <c:pt idx="511">
                  <c:v>904.82265699414586</c:v>
                </c:pt>
                <c:pt idx="512">
                  <c:v>908.40217266512525</c:v>
                </c:pt>
                <c:pt idx="513">
                  <c:v>911.9874309263223</c:v>
                </c:pt>
                <c:pt idx="514">
                  <c:v>915.57841379592753</c:v>
                </c:pt>
                <c:pt idx="515">
                  <c:v>919.1751033012622</c:v>
                </c:pt>
                <c:pt idx="516">
                  <c:v>922.77748147903287</c:v>
                </c:pt>
                <c:pt idx="517">
                  <c:v>926.38553037558529</c:v>
                </c:pt>
                <c:pt idx="518">
                  <c:v>929.99923204715628</c:v>
                </c:pt>
                <c:pt idx="519">
                  <c:v>933.61856856012434</c:v>
                </c:pt>
                <c:pt idx="520">
                  <c:v>937.24352199125929</c:v>
                </c:pt>
                <c:pt idx="521">
                  <c:v>940.87407442796939</c:v>
                </c:pt>
                <c:pt idx="522">
                  <c:v>944.51020796854823</c:v>
                </c:pt>
                <c:pt idx="523">
                  <c:v>948.15190472241943</c:v>
                </c:pt>
                <c:pt idx="524">
                  <c:v>951.79914681037974</c:v>
                </c:pt>
                <c:pt idx="525">
                  <c:v>955.45191636484151</c:v>
                </c:pt>
                <c:pt idx="526">
                  <c:v>959.1101955300727</c:v>
                </c:pt>
                <c:pt idx="527">
                  <c:v>962.77396646243608</c:v>
                </c:pt>
                <c:pt idx="528">
                  <c:v>966.44321133062681</c:v>
                </c:pt>
                <c:pt idx="529">
                  <c:v>970.11791231590848</c:v>
                </c:pt>
                <c:pt idx="530">
                  <c:v>973.79805161234765</c:v>
                </c:pt>
                <c:pt idx="531">
                  <c:v>977.48361142704675</c:v>
                </c:pt>
                <c:pt idx="532">
                  <c:v>981.17457398037595</c:v>
                </c:pt>
                <c:pt idx="533">
                  <c:v>984.8709215062031</c:v>
                </c:pt>
                <c:pt idx="534">
                  <c:v>988.57263625212261</c:v>
                </c:pt>
                <c:pt idx="535">
                  <c:v>992.27970047968222</c:v>
                </c:pt>
                <c:pt idx="536">
                  <c:v>995.99209646460884</c:v>
                </c:pt>
                <c:pt idx="537">
                  <c:v>999.70980649703267</c:v>
                </c:pt>
                <c:pt idx="538">
                  <c:v>1003.4328128817098</c:v>
                </c:pt>
                <c:pt idx="539">
                  <c:v>1007.1610979382432</c:v>
                </c:pt>
                <c:pt idx="540">
                  <c:v>1010.8946440013026</c:v>
                </c:pt>
                <c:pt idx="541">
                  <c:v>1014.6334334208424</c:v>
                </c:pt>
                <c:pt idx="542">
                  <c:v>1018.3774485623182</c:v>
                </c:pt>
                <c:pt idx="543">
                  <c:v>1022.1266718069024</c:v>
                </c:pt>
                <c:pt idx="544">
                  <c:v>1025.881085551697</c:v>
                </c:pt>
                <c:pt idx="545">
                  <c:v>1029.6406722099459</c:v>
                </c:pt>
                <c:pt idx="546">
                  <c:v>1033.4054142112461</c:v>
                </c:pt>
                <c:pt idx="547">
                  <c:v>1037.1752940017561</c:v>
                </c:pt>
                <c:pt idx="548">
                  <c:v>1040.9502940444031</c:v>
                </c:pt>
                <c:pt idx="549">
                  <c:v>1044.7303968190897</c:v>
                </c:pt>
                <c:pt idx="550">
                  <c:v>1048.5155841551907</c:v>
                </c:pt>
                <c:pt idx="551">
                  <c:v>1052.3058356734639</c:v>
                </c:pt>
                <c:pt idx="552">
                  <c:v>1056.101129456782</c:v>
                </c:pt>
                <c:pt idx="553">
                  <c:v>1059.901443611476</c:v>
                </c:pt>
                <c:pt idx="554">
                  <c:v>1063.7067562675916</c:v>
                </c:pt>
                <c:pt idx="555">
                  <c:v>1067.5170455791435</c:v>
                </c:pt>
                <c:pt idx="556">
                  <c:v>1071.3322897243679</c:v>
                </c:pt>
                <c:pt idx="557">
                  <c:v>1075.1524669059713</c:v>
                </c:pt>
                <c:pt idx="558">
                  <c:v>1078.9775553513787</c:v>
                </c:pt>
                <c:pt idx="559">
                  <c:v>1082.8075333129789</c:v>
                </c:pt>
                <c:pt idx="560">
                  <c:v>1086.6423790683671</c:v>
                </c:pt>
                <c:pt idx="561">
                  <c:v>1090.4820709205869</c:v>
                </c:pt>
                <c:pt idx="562">
                  <c:v>1094.3265871983681</c:v>
                </c:pt>
                <c:pt idx="563">
                  <c:v>1098.1759062563633</c:v>
                </c:pt>
                <c:pt idx="564">
                  <c:v>1102.0300064753831</c:v>
                </c:pt>
                <c:pt idx="565">
                  <c:v>1105.8888662626268</c:v>
                </c:pt>
                <c:pt idx="566">
                  <c:v>1109.7524640519139</c:v>
                </c:pt>
                <c:pt idx="567">
                  <c:v>1113.6207783039104</c:v>
                </c:pt>
                <c:pt idx="568">
                  <c:v>1117.4937875063551</c:v>
                </c:pt>
                <c:pt idx="569">
                  <c:v>1121.3714701742833</c:v>
                </c:pt>
                <c:pt idx="570">
                  <c:v>1125.253804850247</c:v>
                </c:pt>
                <c:pt idx="571">
                  <c:v>1129.1407701045343</c:v>
                </c:pt>
                <c:pt idx="572">
                  <c:v>1133.0323445353863</c:v>
                </c:pt>
                <c:pt idx="573">
                  <c:v>1136.9285067692117</c:v>
                </c:pt>
                <c:pt idx="574">
                  <c:v>1140.8292354607991</c:v>
                </c:pt>
                <c:pt idx="575">
                  <c:v>1144.734509293527</c:v>
                </c:pt>
                <c:pt idx="576">
                  <c:v>1148.6443069795723</c:v>
                </c:pt>
                <c:pt idx="577">
                  <c:v>1152.5586072601161</c:v>
                </c:pt>
                <c:pt idx="578">
                  <c:v>1156.4773889055473</c:v>
                </c:pt>
                <c:pt idx="579">
                  <c:v>1160.400630715664</c:v>
                </c:pt>
                <c:pt idx="580">
                  <c:v>1164.3283115198733</c:v>
                </c:pt>
                <c:pt idx="581">
                  <c:v>1168.2604101773886</c:v>
                </c:pt>
                <c:pt idx="582">
                  <c:v>1172.1969055774241</c:v>
                </c:pt>
                <c:pt idx="583">
                  <c:v>1176.1377766393882</c:v>
                </c:pt>
                <c:pt idx="584">
                  <c:v>1180.0830023130745</c:v>
                </c:pt>
                <c:pt idx="585">
                  <c:v>1184.0325615788502</c:v>
                </c:pt>
                <c:pt idx="586">
                  <c:v>1187.9864334478423</c:v>
                </c:pt>
                <c:pt idx="587">
                  <c:v>1191.9445969621229</c:v>
                </c:pt>
                <c:pt idx="588">
                  <c:v>1195.9070311948908</c:v>
                </c:pt>
                <c:pt idx="589">
                  <c:v>1199.8737152506517</c:v>
                </c:pt>
                <c:pt idx="590">
                  <c:v>1203.8446282653968</c:v>
                </c:pt>
                <c:pt idx="591">
                  <c:v>1207.8197494067781</c:v>
                </c:pt>
                <c:pt idx="592">
                  <c:v>1211.7990578742827</c:v>
                </c:pt>
                <c:pt idx="593">
                  <c:v>1215.7825328994043</c:v>
                </c:pt>
                <c:pt idx="594">
                  <c:v>1219.7701537458129</c:v>
                </c:pt>
                <c:pt idx="595">
                  <c:v>1223.7618997095224</c:v>
                </c:pt>
                <c:pt idx="596">
                  <c:v>1227.757750119056</c:v>
                </c:pt>
                <c:pt idx="597">
                  <c:v>1231.7576843356101</c:v>
                </c:pt>
                <c:pt idx="598">
                  <c:v>1235.7616817532146</c:v>
                </c:pt>
                <c:pt idx="599">
                  <c:v>1239.7697217988934</c:v>
                </c:pt>
                <c:pt idx="600">
                  <c:v>1243.7817839328206</c:v>
                </c:pt>
                <c:pt idx="601">
                  <c:v>1247.7978476484764</c:v>
                </c:pt>
                <c:pt idx="602">
                  <c:v>1251.8178924727995</c:v>
                </c:pt>
                <c:pt idx="603">
                  <c:v>1255.841897966339</c:v>
                </c:pt>
                <c:pt idx="604">
                  <c:v>1259.8698437234027</c:v>
                </c:pt>
                <c:pt idx="605">
                  <c:v>1263.9017093722046</c:v>
                </c:pt>
                <c:pt idx="606">
                  <c:v>1267.9374745750094</c:v>
                </c:pt>
                <c:pt idx="607">
                  <c:v>1271.9771190282763</c:v>
                </c:pt>
                <c:pt idx="608">
                  <c:v>1276.0206224627989</c:v>
                </c:pt>
                <c:pt idx="609">
                  <c:v>1280.067964643845</c:v>
                </c:pt>
                <c:pt idx="610">
                  <c:v>1284.1191253712932</c:v>
                </c:pt>
                <c:pt idx="611">
                  <c:v>1288.1740844797682</c:v>
                </c:pt>
                <c:pt idx="612">
                  <c:v>1292.2328159011945</c:v>
                </c:pt>
                <c:pt idx="613">
                  <c:v>1296.2952876749196</c:v>
                </c:pt>
                <c:pt idx="614">
                  <c:v>1300.3614678954825</c:v>
                </c:pt>
                <c:pt idx="615">
                  <c:v>1304.4313247128759</c:v>
                </c:pt>
                <c:pt idx="616">
                  <c:v>1308.5048263328038</c:v>
                </c:pt>
                <c:pt idx="617">
                  <c:v>1312.5819410169356</c:v>
                </c:pt>
                <c:pt idx="618">
                  <c:v>1316.6626370831552</c:v>
                </c:pt>
                <c:pt idx="619">
                  <c:v>1320.7468829058062</c:v>
                </c:pt>
                <c:pt idx="620">
                  <c:v>1324.8346469159328</c:v>
                </c:pt>
                <c:pt idx="621">
                  <c:v>1328.9258976015165</c:v>
                </c:pt>
                <c:pt idx="622">
                  <c:v>1333.0206035077085</c:v>
                </c:pt>
                <c:pt idx="623">
                  <c:v>1337.1187332370578</c:v>
                </c:pt>
                <c:pt idx="624">
                  <c:v>1341.2202554497353</c:v>
                </c:pt>
                <c:pt idx="625">
                  <c:v>1345.3251388637539</c:v>
                </c:pt>
                <c:pt idx="626">
                  <c:v>1349.433352255184</c:v>
                </c:pt>
                <c:pt idx="627">
                  <c:v>1353.5448644583653</c:v>
                </c:pt>
                <c:pt idx="628">
                  <c:v>1357.6596443661144</c:v>
                </c:pt>
                <c:pt idx="629">
                  <c:v>1361.7776609299278</c:v>
                </c:pt>
                <c:pt idx="630">
                  <c:v>1365.8988831601821</c:v>
                </c:pt>
                <c:pt idx="631">
                  <c:v>1370.0232801263282</c:v>
                </c:pt>
                <c:pt idx="632">
                  <c:v>1374.1508209570841</c:v>
                </c:pt>
                <c:pt idx="633">
                  <c:v>1378.2814748406211</c:v>
                </c:pt>
                <c:pt idx="634">
                  <c:v>1382.4152110247474</c:v>
                </c:pt>
                <c:pt idx="635">
                  <c:v>1386.5519988170877</c:v>
                </c:pt>
                <c:pt idx="636">
                  <c:v>1390.6918075852589</c:v>
                </c:pt>
                <c:pt idx="637">
                  <c:v>1394.8346067570405</c:v>
                </c:pt>
                <c:pt idx="638">
                  <c:v>1398.980365820544</c:v>
                </c:pt>
                <c:pt idx="639">
                  <c:v>1403.1290543243749</c:v>
                </c:pt>
                <c:pt idx="640">
                  <c:v>1407.2806418777936</c:v>
                </c:pt>
                <c:pt idx="641">
                  <c:v>1411.4350981508712</c:v>
                </c:pt>
                <c:pt idx="642">
                  <c:v>1415.592392874642</c:v>
                </c:pt>
                <c:pt idx="643">
                  <c:v>1419.7524958412516</c:v>
                </c:pt>
                <c:pt idx="644">
                  <c:v>1423.9153769041015</c:v>
                </c:pt>
                <c:pt idx="645">
                  <c:v>1428.0810059779908</c:v>
                </c:pt>
                <c:pt idx="646">
                  <c:v>1432.2493365822081</c:v>
                </c:pt>
                <c:pt idx="647">
                  <c:v>1436.4203040432988</c:v>
                </c:pt>
                <c:pt idx="648">
                  <c:v>1440.593841988584</c:v>
                </c:pt>
                <c:pt idx="649">
                  <c:v>1444.7698841802992</c:v>
                </c:pt>
                <c:pt idx="650">
                  <c:v>1448.9483645163125</c:v>
                </c:pt>
                <c:pt idx="651">
                  <c:v>1453.1292170308272</c:v>
                </c:pt>
                <c:pt idx="652">
                  <c:v>1457.3123758950676</c:v>
                </c:pt>
                <c:pt idx="653">
                  <c:v>1461.4977754179488</c:v>
                </c:pt>
                <c:pt idx="654">
                  <c:v>1465.6853500467309</c:v>
                </c:pt>
                <c:pt idx="655">
                  <c:v>1469.8750343676566</c:v>
                </c:pt>
                <c:pt idx="656">
                  <c:v>1474.0667631065728</c:v>
                </c:pt>
                <c:pt idx="657">
                  <c:v>1478.2604711295382</c:v>
                </c:pt>
                <c:pt idx="658">
                  <c:v>1482.456093443413</c:v>
                </c:pt>
                <c:pt idx="659">
                  <c:v>1486.6535651964339</c:v>
                </c:pt>
                <c:pt idx="660">
                  <c:v>1490.8528216787743</c:v>
                </c:pt>
                <c:pt idx="661">
                  <c:v>1495.0537983230879</c:v>
                </c:pt>
                <c:pt idx="662">
                  <c:v>1499.2564307050384</c:v>
                </c:pt>
                <c:pt idx="663">
                  <c:v>1503.4606545438126</c:v>
                </c:pt>
                <c:pt idx="664">
                  <c:v>1507.6664057026198</c:v>
                </c:pt>
                <c:pt idx="665">
                  <c:v>1511.8736201891752</c:v>
                </c:pt>
                <c:pt idx="666">
                  <c:v>1516.0821992991389</c:v>
                </c:pt>
                <c:pt idx="667">
                  <c:v>1520.292000976702</c:v>
                </c:pt>
                <c:pt idx="668">
                  <c:v>1524.5028747730146</c:v>
                </c:pt>
                <c:pt idx="669">
                  <c:v>1528.7146705889572</c:v>
                </c:pt>
                <c:pt idx="670">
                  <c:v>1532.9272386785649</c:v>
                </c:pt>
                <c:pt idx="671">
                  <c:v>1537.1404296523685</c:v>
                </c:pt>
                <c:pt idx="672">
                  <c:v>1541.3540944806548</c:v>
                </c:pt>
                <c:pt idx="673">
                  <c:v>1545.5680844966464</c:v>
                </c:pt>
                <c:pt idx="674">
                  <c:v>1549.7822513996</c:v>
                </c:pt>
                <c:pt idx="675">
                  <c:v>1553.9964472578258</c:v>
                </c:pt>
                <c:pt idx="676">
                  <c:v>1558.2105245116265</c:v>
                </c:pt>
                <c:pt idx="677">
                  <c:v>1562.4243359761572</c:v>
                </c:pt>
                <c:pt idx="678">
                  <c:v>1566.6377348442065</c:v>
                </c:pt>
                <c:pt idx="679">
                  <c:v>1570.8505746889007</c:v>
                </c:pt>
                <c:pt idx="680">
                  <c:v>1575.0627094663278</c:v>
                </c:pt>
                <c:pt idx="681">
                  <c:v>1579.2739935180871</c:v>
                </c:pt>
                <c:pt idx="682">
                  <c:v>1583.4842815737602</c:v>
                </c:pt>
                <c:pt idx="683">
                  <c:v>1587.6934287533063</c:v>
                </c:pt>
                <c:pt idx="684">
                  <c:v>1591.9012905693828</c:v>
                </c:pt>
                <c:pt idx="685">
                  <c:v>1596.1077229295893</c:v>
                </c:pt>
                <c:pt idx="686">
                  <c:v>1600.3125821386388</c:v>
                </c:pt>
                <c:pt idx="687">
                  <c:v>1604.515724900454</c:v>
                </c:pt>
                <c:pt idx="688">
                  <c:v>1608.7170083201902</c:v>
                </c:pt>
                <c:pt idx="689">
                  <c:v>1612.9162899061864</c:v>
                </c:pt>
                <c:pt idx="690">
                  <c:v>1617.1134275718439</c:v>
                </c:pt>
                <c:pt idx="691">
                  <c:v>1621.3082796374324</c:v>
                </c:pt>
                <c:pt idx="692">
                  <c:v>1625.5007048318271</c:v>
                </c:pt>
                <c:pt idx="693">
                  <c:v>1629.6905622941738</c:v>
                </c:pt>
                <c:pt idx="694">
                  <c:v>1633.8777115754863</c:v>
                </c:pt>
                <c:pt idx="695">
                  <c:v>1638.0620126401725</c:v>
                </c:pt>
                <c:pt idx="696">
                  <c:v>1642.2433258674946</c:v>
                </c:pt>
                <c:pt idx="697">
                  <c:v>1646.4215120529598</c:v>
                </c:pt>
                <c:pt idx="698">
                  <c:v>1650.5964324096451</c:v>
                </c:pt>
                <c:pt idx="699">
                  <c:v>1654.7679485694553</c:v>
                </c:pt>
                <c:pt idx="700">
                  <c:v>1658.9359225843154</c:v>
                </c:pt>
                <c:pt idx="701">
                  <c:v>1663.1002169272988</c:v>
                </c:pt>
                <c:pt idx="702">
                  <c:v>1667.2606944936897</c:v>
                </c:pt>
                <c:pt idx="703">
                  <c:v>1671.4172186019837</c:v>
                </c:pt>
                <c:pt idx="704">
                  <c:v>1675.5696529948236</c:v>
                </c:pt>
                <c:pt idx="705">
                  <c:v>1679.7178618398755</c:v>
                </c:pt>
                <c:pt idx="706">
                  <c:v>1683.8617097306403</c:v>
                </c:pt>
                <c:pt idx="707">
                  <c:v>1688.0010616872073</c:v>
                </c:pt>
                <c:pt idx="708">
                  <c:v>1692.1357822127266</c:v>
                </c:pt>
                <c:pt idx="709">
                  <c:v>1696.2657267977622</c:v>
                </c:pt>
                <c:pt idx="710">
                  <c:v>1700.3907428978966</c:v>
                </c:pt>
                <c:pt idx="711">
                  <c:v>1704.5106784636366</c:v>
                </c:pt>
                <c:pt idx="712">
                  <c:v>1708.6253819414571</c:v>
                </c:pt>
                <c:pt idx="713">
                  <c:v>1712.7347022747686</c:v>
                </c:pt>
                <c:pt idx="714">
                  <c:v>1716.8384889048079</c:v>
                </c:pt>
                <c:pt idx="715">
                  <c:v>1720.9365917714547</c:v>
                </c:pt>
                <c:pt idx="716">
                  <c:v>1725.0288613139726</c:v>
                </c:pt>
                <c:pt idx="717">
                  <c:v>1729.1151484716786</c:v>
                </c:pt>
                <c:pt idx="718">
                  <c:v>1733.1953046845385</c:v>
                </c:pt>
                <c:pt idx="719">
                  <c:v>1737.2691818936921</c:v>
                </c:pt>
                <c:pt idx="720">
                  <c:v>1741.3366325419074</c:v>
                </c:pt>
                <c:pt idx="721">
                  <c:v>1745.3975095739654</c:v>
                </c:pt>
                <c:pt idx="722">
                  <c:v>1749.4516664369769</c:v>
                </c:pt>
                <c:pt idx="723">
                  <c:v>1753.4989570806304</c:v>
                </c:pt>
                <c:pt idx="724">
                  <c:v>1757.5392359573743</c:v>
                </c:pt>
                <c:pt idx="725">
                  <c:v>1761.5722381298976</c:v>
                </c:pt>
                <c:pt idx="726">
                  <c:v>1765.5975283828532</c:v>
                </c:pt>
                <c:pt idx="727">
                  <c:v>1769.6148788286596</c:v>
                </c:pt>
                <c:pt idx="728">
                  <c:v>1773.6243194517308</c:v>
                </c:pt>
                <c:pt idx="729">
                  <c:v>1777.6258800519868</c:v>
                </c:pt>
                <c:pt idx="730">
                  <c:v>1781.6195902463794</c:v>
                </c:pt>
                <c:pt idx="731">
                  <c:v>1785.6054794704039</c:v>
                </c:pt>
                <c:pt idx="732">
                  <c:v>1789.5835769795935</c:v>
                </c:pt>
                <c:pt idx="733">
                  <c:v>1793.5539118509996</c:v>
                </c:pt>
                <c:pt idx="734">
                  <c:v>1797.5165129846557</c:v>
                </c:pt>
                <c:pt idx="735">
                  <c:v>1801.4714091050266</c:v>
                </c:pt>
                <c:pt idx="736">
                  <c:v>1805.4186287624429</c:v>
                </c:pt>
                <c:pt idx="737">
                  <c:v>1809.3582003345207</c:v>
                </c:pt>
                <c:pt idx="738">
                  <c:v>1813.2901520275661</c:v>
                </c:pt>
                <c:pt idx="739">
                  <c:v>1817.2145118779667</c:v>
                </c:pt>
                <c:pt idx="740">
                  <c:v>1821.1313077535674</c:v>
                </c:pt>
                <c:pt idx="741">
                  <c:v>1825.0405673550333</c:v>
                </c:pt>
                <c:pt idx="742">
                  <c:v>1828.9423182171979</c:v>
                </c:pt>
                <c:pt idx="743">
                  <c:v>1832.8365877103984</c:v>
                </c:pt>
                <c:pt idx="744">
                  <c:v>1836.7234030417969</c:v>
                </c:pt>
                <c:pt idx="745">
                  <c:v>1840.6027912566888</c:v>
                </c:pt>
                <c:pt idx="746">
                  <c:v>1844.4747792397973</c:v>
                </c:pt>
                <c:pt idx="747">
                  <c:v>1848.3393937165556</c:v>
                </c:pt>
                <c:pt idx="748">
                  <c:v>1852.1966612543758</c:v>
                </c:pt>
                <c:pt idx="749">
                  <c:v>1856.0466082639052</c:v>
                </c:pt>
                <c:pt idx="750">
                  <c:v>1859.8892610002699</c:v>
                </c:pt>
                <c:pt idx="751">
                  <c:v>1863.7246455643065</c:v>
                </c:pt>
                <c:pt idx="752">
                  <c:v>1867.5527879037809</c:v>
                </c:pt>
                <c:pt idx="753">
                  <c:v>1871.3737138145955</c:v>
                </c:pt>
                <c:pt idx="754">
                  <c:v>1875.187448941984</c:v>
                </c:pt>
                <c:pt idx="755">
                  <c:v>1878.9940187816949</c:v>
                </c:pt>
                <c:pt idx="756">
                  <c:v>1882.7934486811625</c:v>
                </c:pt>
                <c:pt idx="757">
                  <c:v>1886.5857638406674</c:v>
                </c:pt>
                <c:pt idx="758">
                  <c:v>1890.3709893144846</c:v>
                </c:pt>
                <c:pt idx="759">
                  <c:v>1894.1491500120212</c:v>
                </c:pt>
                <c:pt idx="760">
                  <c:v>1897.9202706989424</c:v>
                </c:pt>
                <c:pt idx="761">
                  <c:v>1901.6843759982867</c:v>
                </c:pt>
                <c:pt idx="762">
                  <c:v>1905.4414903915695</c:v>
                </c:pt>
                <c:pt idx="763">
                  <c:v>1909.1916382198779</c:v>
                </c:pt>
                <c:pt idx="764">
                  <c:v>1912.9348436849527</c:v>
                </c:pt>
                <c:pt idx="765">
                  <c:v>1916.6711308502611</c:v>
                </c:pt>
                <c:pt idx="766">
                  <c:v>1920.4005236420583</c:v>
                </c:pt>
                <c:pt idx="767">
                  <c:v>1924.1230458504399</c:v>
                </c:pt>
                <c:pt idx="768">
                  <c:v>1927.8387211303832</c:v>
                </c:pt>
                <c:pt idx="769">
                  <c:v>1931.5475730027786</c:v>
                </c:pt>
                <c:pt idx="770">
                  <c:v>1935.2496248554519</c:v>
                </c:pt>
                <c:pt idx="771">
                  <c:v>1938.9448999441754</c:v>
                </c:pt>
                <c:pt idx="772">
                  <c:v>1942.6334213936709</c:v>
                </c:pt>
                <c:pt idx="773">
                  <c:v>1946.3152121986022</c:v>
                </c:pt>
                <c:pt idx="774">
                  <c:v>1949.9902952245577</c:v>
                </c:pt>
                <c:pt idx="775">
                  <c:v>1953.6586932090252</c:v>
                </c:pt>
                <c:pt idx="776">
                  <c:v>1957.320428762356</c:v>
                </c:pt>
                <c:pt idx="777">
                  <c:v>1960.9755243687202</c:v>
                </c:pt>
                <c:pt idx="778">
                  <c:v>1964.6240023870541</c:v>
                </c:pt>
                <c:pt idx="779">
                  <c:v>1968.2658850519965</c:v>
                </c:pt>
                <c:pt idx="780">
                  <c:v>1971.9011944748181</c:v>
                </c:pt>
                <c:pt idx="781">
                  <c:v>1975.5299526443418</c:v>
                </c:pt>
                <c:pt idx="782">
                  <c:v>1979.1521814278535</c:v>
                </c:pt>
                <c:pt idx="783">
                  <c:v>1982.7679025720051</c:v>
                </c:pt>
                <c:pt idx="784">
                  <c:v>1986.377137703709</c:v>
                </c:pt>
                <c:pt idx="785">
                  <c:v>1989.9799083310238</c:v>
                </c:pt>
                <c:pt idx="786">
                  <c:v>1993.5762358440329</c:v>
                </c:pt>
                <c:pt idx="787">
                  <c:v>1997.1661415157134</c:v>
                </c:pt>
                <c:pt idx="788">
                  <c:v>2000.749646502798</c:v>
                </c:pt>
                <c:pt idx="789">
                  <c:v>2004.3267718466284</c:v>
                </c:pt>
                <c:pt idx="790">
                  <c:v>2007.8975384740017</c:v>
                </c:pt>
                <c:pt idx="791">
                  <c:v>2011.4619671980076</c:v>
                </c:pt>
                <c:pt idx="792">
                  <c:v>2015.0200787188592</c:v>
                </c:pt>
                <c:pt idx="793">
                  <c:v>2018.5718936247149</c:v>
                </c:pt>
                <c:pt idx="794">
                  <c:v>2022.1174323924945</c:v>
                </c:pt>
                <c:pt idx="795">
                  <c:v>2025.6567153886858</c:v>
                </c:pt>
                <c:pt idx="796">
                  <c:v>2029.1897628701458</c:v>
                </c:pt>
                <c:pt idx="797">
                  <c:v>2032.7165949848929</c:v>
                </c:pt>
                <c:pt idx="798">
                  <c:v>2036.237231772893</c:v>
                </c:pt>
                <c:pt idx="799">
                  <c:v>2039.7516931668379</c:v>
                </c:pt>
                <c:pt idx="800">
                  <c:v>2043.2599989929172</c:v>
                </c:pt>
                <c:pt idx="801">
                  <c:v>2078.0060281708388</c:v>
                </c:pt>
                <c:pt idx="802">
                  <c:v>2112.1491323008649</c:v>
                </c:pt>
                <c:pt idx="803">
                  <c:v>2145.7081616910705</c:v>
                </c:pt>
                <c:pt idx="804">
                  <c:v>2178.7009966273408</c:v>
                </c:pt>
                <c:pt idx="805">
                  <c:v>2211.1446135806937</c:v>
                </c:pt>
                <c:pt idx="806">
                  <c:v>2243.0551458048767</c:v>
                </c:pt>
                <c:pt idx="807">
                  <c:v>2274.4479388887657</c:v>
                </c:pt>
                <c:pt idx="808">
                  <c:v>2305.3376017625756</c:v>
                </c:pt>
                <c:pt idx="809">
                  <c:v>2335.7380535999819</c:v>
                </c:pt>
                <c:pt idx="810">
                  <c:v>2365.6625670086482</c:v>
                </c:pt>
                <c:pt idx="811">
                  <c:v>2395.1238078583497</c:v>
                </c:pt>
                <c:pt idx="812">
                  <c:v>2424.1338720579597</c:v>
                </c:pt>
                <c:pt idx="813">
                  <c:v>2452.7043195593083</c:v>
                </c:pt>
                <c:pt idx="814">
                  <c:v>2480.8462058366677</c:v>
                </c:pt>
                <c:pt idx="815">
                  <c:v>2508.5701110648524</c:v>
                </c:pt>
                <c:pt idx="816">
                  <c:v>2535.8861671961658</c:v>
                </c:pt>
                <c:pt idx="817">
                  <c:v>2562.8040831162975</c:v>
                </c:pt>
                <c:pt idx="818">
                  <c:v>2589.3331680414367</c:v>
                </c:pt>
                <c:pt idx="819">
                  <c:v>2615.4823533030199</c:v>
                </c:pt>
                <c:pt idx="820">
                  <c:v>2641.2602126524462</c:v>
                </c:pt>
                <c:pt idx="821">
                  <c:v>2666.6749812055318</c:v>
                </c:pt>
                <c:pt idx="822">
                  <c:v>2691.7345731352621</c:v>
                </c:pt>
                <c:pt idx="823">
                  <c:v>2716.446598211387</c:v>
                </c:pt>
                <c:pt idx="824">
                  <c:v>2740.8183772764237</c:v>
                </c:pt>
                <c:pt idx="825">
                  <c:v>2764.856956739583</c:v>
                </c:pt>
                <c:pt idx="826">
                  <c:v>2788.5691221629049</c:v>
                </c:pt>
                <c:pt idx="827">
                  <c:v>2811.9614110073899</c:v>
                </c:pt>
                <c:pt idx="828">
                  <c:v>2835.040124601046</c:v>
                </c:pt>
                <c:pt idx="829">
                  <c:v>2857.8113393854924</c:v>
                </c:pt>
                <c:pt idx="830">
                  <c:v>2880.280917492983</c:v>
                </c:pt>
                <c:pt idx="831">
                  <c:v>2902.4545167013976</c:v>
                </c:pt>
                <c:pt idx="832">
                  <c:v>2924.3375998108363</c:v>
                </c:pt>
                <c:pt idx="833">
                  <c:v>2945.9354434819061</c:v>
                </c:pt>
                <c:pt idx="834">
                  <c:v>2967.2531465725715</c:v>
                </c:pt>
                <c:pt idx="835">
                  <c:v>2988.2956380075125</c:v>
                </c:pt>
                <c:pt idx="836">
                  <c:v>3009.0676842112707</c:v>
                </c:pt>
                <c:pt idx="837">
                  <c:v>3029.5738961340426</c:v>
                </c:pt>
                <c:pt idx="838">
                  <c:v>3049.8187358967552</c:v>
                </c:pt>
                <c:pt idx="839">
                  <c:v>3069.8065230800562</c:v>
                </c:pt>
                <c:pt idx="840">
                  <c:v>3089.5414406799864</c:v>
                </c:pt>
                <c:pt idx="841">
                  <c:v>3109.0275407514282</c:v>
                </c:pt>
                <c:pt idx="842">
                  <c:v>3128.2687497588645</c:v>
                </c:pt>
                <c:pt idx="843">
                  <c:v>3147.2688736525733</c:v>
                </c:pt>
                <c:pt idx="844">
                  <c:v>3166.0316026870764</c:v>
                </c:pt>
                <c:pt idx="845">
                  <c:v>3184.5605159974684</c:v>
                </c:pt>
                <c:pt idx="846">
                  <c:v>3202.8590859481506</c:v>
                </c:pt>
                <c:pt idx="847">
                  <c:v>3220.9306822674848</c:v>
                </c:pt>
                <c:pt idx="848">
                  <c:v>3238.7785759809522</c:v>
                </c:pt>
                <c:pt idx="849">
                  <c:v>3256.4059431545388</c:v>
                </c:pt>
                <c:pt idx="850">
                  <c:v>3273.8158684592868</c:v>
                </c:pt>
                <c:pt idx="851">
                  <c:v>3291.0113485672064</c:v>
                </c:pt>
                <c:pt idx="852">
                  <c:v>3307.9952953880829</c:v>
                </c:pt>
                <c:pt idx="853">
                  <c:v>3324.7705391560735</c:v>
                </c:pt>
                <c:pt idx="854">
                  <c:v>3341.3398313744233</c:v>
                </c:pt>
                <c:pt idx="855">
                  <c:v>3357.7058476260854</c:v>
                </c:pt>
                <c:pt idx="856">
                  <c:v>3373.8711902575387</c:v>
                </c:pt>
                <c:pt idx="857">
                  <c:v>3389.8383909426329</c:v>
                </c:pt>
                <c:pt idx="858">
                  <c:v>3405.6099131328679</c:v>
                </c:pt>
                <c:pt idx="859">
                  <c:v>3421.1881544001117</c:v>
                </c:pt>
                <c:pt idx="860">
                  <c:v>3436.5754486773963</c:v>
                </c:pt>
                <c:pt idx="861">
                  <c:v>3451.7740684030882</c:v>
                </c:pt>
                <c:pt idx="862">
                  <c:v>3466.7862265734057</c:v>
                </c:pt>
                <c:pt idx="863">
                  <c:v>3481.6140787079644</c:v>
                </c:pt>
                <c:pt idx="864">
                  <c:v>3496.259724732749</c:v>
                </c:pt>
                <c:pt idx="865">
                  <c:v>3510.7252107846566</c:v>
                </c:pt>
                <c:pt idx="866">
                  <c:v>3525.0125309415107</c:v>
                </c:pt>
                <c:pt idx="867">
                  <c:v>3539.1236288812202</c:v>
                </c:pt>
                <c:pt idx="868">
                  <c:v>3553.0603994735529</c:v>
                </c:pt>
                <c:pt idx="869">
                  <c:v>3566.8246903077898</c:v>
                </c:pt>
                <c:pt idx="870">
                  <c:v>3580.4183031593416</c:v>
                </c:pt>
                <c:pt idx="871">
                  <c:v>3593.8429953982477</c:v>
                </c:pt>
                <c:pt idx="872">
                  <c:v>3607.1004813423015</c:v>
                </c:pt>
                <c:pt idx="873">
                  <c:v>3620.1924335574058</c:v>
                </c:pt>
                <c:pt idx="874">
                  <c:v>3633.1204841076169</c:v>
                </c:pt>
                <c:pt idx="875">
                  <c:v>3645.8862257572027</c:v>
                </c:pt>
                <c:pt idx="876">
                  <c:v>3658.4912131269157</c:v>
                </c:pt>
                <c:pt idx="877">
                  <c:v>3670.9369638065659</c:v>
                </c:pt>
                <c:pt idx="878">
                  <c:v>3683.2249594258692</c:v>
                </c:pt>
                <c:pt idx="879">
                  <c:v>3695.3566466854413</c:v>
                </c:pt>
                <c:pt idx="880">
                  <c:v>3707.3334383497104</c:v>
                </c:pt>
                <c:pt idx="881">
                  <c:v>3719.1567142034351</c:v>
                </c:pt>
                <c:pt idx="882">
                  <c:v>3730.827821973422</c:v>
                </c:pt>
                <c:pt idx="883">
                  <c:v>3742.3480782169599</c:v>
                </c:pt>
                <c:pt idx="884">
                  <c:v>3753.7187691784125</c:v>
                </c:pt>
                <c:pt idx="885">
                  <c:v>3764.9411516153359</c:v>
                </c:pt>
                <c:pt idx="886">
                  <c:v>3776.0164535954241</c:v>
                </c:pt>
                <c:pt idx="887">
                  <c:v>3786.9458752655169</c:v>
                </c:pt>
                <c:pt idx="888">
                  <c:v>3797.7305895938521</c:v>
                </c:pt>
                <c:pt idx="889">
                  <c:v>3808.3717430866759</c:v>
                </c:pt>
                <c:pt idx="890">
                  <c:v>3818.8704564802852</c:v>
                </c:pt>
                <c:pt idx="891">
                  <c:v>3829.2278254095122</c:v>
                </c:pt>
                <c:pt idx="892">
                  <c:v>3839.444921053625</c:v>
                </c:pt>
                <c:pt idx="893">
                  <c:v>3849.522790760564</c:v>
                </c:pt>
                <c:pt idx="894">
                  <c:v>3859.4624586503951</c:v>
                </c:pt>
                <c:pt idx="895">
                  <c:v>3869.264926198824</c:v>
                </c:pt>
                <c:pt idx="896">
                  <c:v>3878.9311728015687</c:v>
                </c:pt>
                <c:pt idx="897">
                  <c:v>3888.4621563203596</c:v>
                </c:pt>
                <c:pt idx="898">
                  <c:v>3897.8588136112994</c:v>
                </c:pt>
                <c:pt idx="899">
                  <c:v>3907.1220610362816</c:v>
                </c:pt>
                <c:pt idx="900">
                  <c:v>3916.2527949581363</c:v>
                </c:pt>
                <c:pt idx="901">
                  <c:v>3925.2518922201466</c:v>
                </c:pt>
                <c:pt idx="902">
                  <c:v>3934.1202106105443</c:v>
                </c:pt>
                <c:pt idx="903">
                  <c:v>3942.8585893125755</c:v>
                </c:pt>
                <c:pt idx="904">
                  <c:v>3951.4678493406968</c:v>
                </c:pt>
                <c:pt idx="905">
                  <c:v>3959.9487939634414</c:v>
                </c:pt>
                <c:pt idx="906">
                  <c:v>3968.3022091134726</c:v>
                </c:pt>
                <c:pt idx="907">
                  <c:v>3976.5288637853196</c:v>
                </c:pt>
                <c:pt idx="908">
                  <c:v>3984.6295104212741</c:v>
                </c:pt>
                <c:pt idx="909">
                  <c:v>3992.6048852859035</c:v>
                </c:pt>
                <c:pt idx="910">
                  <c:v>4000.4557088296215</c:v>
                </c:pt>
                <c:pt idx="911">
                  <c:v>4008.1826860417373</c:v>
                </c:pt>
                <c:pt idx="912">
                  <c:v>4015.7865067933944</c:v>
                </c:pt>
                <c:pt idx="913">
                  <c:v>4023.2678461707878</c:v>
                </c:pt>
                <c:pt idx="914">
                  <c:v>4030.6273647990361</c:v>
                </c:pt>
                <c:pt idx="915">
                  <c:v>4037.8657091570776</c:v>
                </c:pt>
                <c:pt idx="916">
                  <c:v>4044.9835118839364</c:v>
                </c:pt>
                <c:pt idx="917">
                  <c:v>4051.9813920767024</c:v>
                </c:pt>
                <c:pt idx="918">
                  <c:v>4058.8599555805486</c:v>
                </c:pt>
                <c:pt idx="919">
                  <c:v>4065.6197952711068</c:v>
                </c:pt>
                <c:pt idx="920">
                  <c:v>4072.2614913295051</c:v>
                </c:pt>
                <c:pt idx="921">
                  <c:v>4078.7856115103673</c:v>
                </c:pt>
                <c:pt idx="922">
                  <c:v>4085.1927114030586</c:v>
                </c:pt>
                <c:pt idx="923">
                  <c:v>4091.4833346864611</c:v>
                </c:pt>
                <c:pt idx="924">
                  <c:v>4097.6580133775451</c:v>
                </c:pt>
                <c:pt idx="925">
                  <c:v>4103.7172680740068</c:v>
                </c:pt>
                <c:pt idx="926">
                  <c:v>4109.6616081912189</c:v>
                </c:pt>
                <c:pt idx="927">
                  <c:v>4115.491532193756</c:v>
                </c:pt>
                <c:pt idx="928">
                  <c:v>4121.2075278217244</c:v>
                </c:pt>
                <c:pt idx="929">
                  <c:v>4126.8100723121424</c:v>
                </c:pt>
                <c:pt idx="930">
                  <c:v>4132.2996326156008</c:v>
                </c:pt>
                <c:pt idx="931">
                  <c:v>4137.6766656084264</c:v>
                </c:pt>
                <c:pt idx="932">
                  <c:v>4142.9416183005715</c:v>
                </c:pt>
                <c:pt idx="933">
                  <c:v>4148.0949280394434</c:v>
                </c:pt>
                <c:pt idx="934">
                  <c:v>4153.1370227098887</c:v>
                </c:pt>
                <c:pt idx="935">
                  <c:v>4158.0683209305334</c:v>
                </c:pt>
                <c:pt idx="936">
                  <c:v>4162.8892322466909</c:v>
                </c:pt>
                <c:pt idx="937">
                  <c:v>4167.6001573200238</c:v>
                </c:pt>
                <c:pt idx="938">
                  <c:v>4172.2014881151681</c:v>
                </c:pt>
                <c:pt idx="939">
                  <c:v>4176.6936080835012</c:v>
                </c:pt>
                <c:pt idx="940">
                  <c:v>4181.0768923442456</c:v>
                </c:pt>
                <c:pt idx="941">
                  <c:v>4185.3517078630948</c:v>
                </c:pt>
                <c:pt idx="942">
                  <c:v>4189.518413628537</c:v>
                </c:pt>
                <c:pt idx="943">
                  <c:v>4193.577360826057</c:v>
                </c:pt>
                <c:pt idx="944">
                  <c:v>4197.5288930103925</c:v>
                </c:pt>
                <c:pt idx="945">
                  <c:v>4201.3733462760119</c:v>
                </c:pt>
                <c:pt idx="946">
                  <c:v>4205.1110494259819</c:v>
                </c:pt>
                <c:pt idx="947">
                  <c:v>4208.7423241393899</c:v>
                </c:pt>
                <c:pt idx="948">
                  <c:v>4212.2674851374786</c:v>
                </c:pt>
                <c:pt idx="949">
                  <c:v>4215.6868403486478</c:v>
                </c:pt>
                <c:pt idx="950">
                  <c:v>4219.0006910724815</c:v>
                </c:pt>
                <c:pt idx="951">
                  <c:v>4222.2093321429347</c:v>
                </c:pt>
                <c:pt idx="952">
                  <c:v>4225.3130520908389</c:v>
                </c:pt>
                <c:pt idx="953">
                  <c:v>4228.3121333058443</c:v>
                </c:pt>
                <c:pt idx="954">
                  <c:v>4231.206852197949</c:v>
                </c:pt>
                <c:pt idx="955">
                  <c:v>4233.9974793587271</c:v>
                </c:pt>
                <c:pt idx="956">
                  <c:v>4236.6842797223835</c:v>
                </c:pt>
                <c:pt idx="957">
                  <c:v>4239.2675127267421</c:v>
                </c:pt>
                <c:pt idx="958">
                  <c:v>4241.7474324742816</c:v>
                </c:pt>
                <c:pt idx="959">
                  <c:v>4244.1242878933062</c:v>
                </c:pt>
                <c:pt idx="960">
                  <c:v>4246.3983228993511</c:v>
                </c:pt>
                <c:pt idx="961">
                  <c:v>4248.5697765568939</c:v>
                </c:pt>
                <c:pt idx="962">
                  <c:v>4250.638883241455</c:v>
                </c:pt>
                <c:pt idx="963">
                  <c:v>4252.6058728021362</c:v>
                </c:pt>
                <c:pt idx="964">
                  <c:v>4254.4709707246602</c:v>
                </c:pt>
                <c:pt idx="965">
                  <c:v>4256.2343982949451</c:v>
                </c:pt>
                <c:pt idx="966">
                  <c:v>4257.8963727632427</c:v>
                </c:pt>
                <c:pt idx="967">
                  <c:v>4259.4571075088616</c:v>
                </c:pt>
                <c:pt idx="968">
                  <c:v>4260.9168122054798</c:v>
                </c:pt>
                <c:pt idx="969">
                  <c:v>4262.2756929870375</c:v>
                </c:pt>
                <c:pt idx="970">
                  <c:v>4263.5339526141879</c:v>
                </c:pt>
                <c:pt idx="971">
                  <c:v>4264.6917906412782</c:v>
                </c:pt>
                <c:pt idx="972">
                  <c:v>4265.7494035838108</c:v>
                </c:pt>
                <c:pt idx="973">
                  <c:v>4266.7069850863254</c:v>
                </c:pt>
                <c:pt idx="974">
                  <c:v>4267.5647260906289</c:v>
                </c:pt>
                <c:pt idx="975">
                  <c:v>4268.3228150042869</c:v>
                </c:pt>
                <c:pt idx="976">
                  <c:v>4268.981437869279</c:v>
                </c:pt>
                <c:pt idx="977">
                  <c:v>4269.5407785307098</c:v>
                </c:pt>
                <c:pt idx="978">
                  <c:v>4270.0010188054439</c:v>
                </c:pt>
                <c:pt idx="979">
                  <c:v>4270.3623386505415</c:v>
                </c:pt>
                <c:pt idx="980">
                  <c:v>4270.624916331346</c:v>
                </c:pt>
                <c:pt idx="981">
                  <c:v>4270.7889285890678</c:v>
                </c:pt>
                <c:pt idx="982">
                  <c:v>4270.8545508077032</c:v>
                </c:pt>
                <c:pt idx="983">
                  <c:v>4270.8219571801219</c:v>
                </c:pt>
                <c:pt idx="984">
                  <c:v>4270.6913208731448</c:v>
                </c:pt>
                <c:pt idx="985">
                  <c:v>4270.4628141914263</c:v>
                </c:pt>
                <c:pt idx="986">
                  <c:v>4270.1366087399656</c:v>
                </c:pt>
                <c:pt idx="987">
                  <c:v>4269.7128755850508</c:v>
                </c:pt>
                <c:pt idx="988">
                  <c:v>4269.191785413449</c:v>
                </c:pt>
                <c:pt idx="989">
                  <c:v>4268.5735086896611</c:v>
                </c:pt>
                <c:pt idx="990">
                  <c:v>4267.858215811043</c:v>
                </c:pt>
                <c:pt idx="991">
                  <c:v>4267.0460772606157</c:v>
                </c:pt>
                <c:pt idx="992">
                  <c:v>4266.137263757385</c:v>
                </c:pt>
                <c:pt idx="993">
                  <c:v>4265.1319464039952</c:v>
                </c:pt>
                <c:pt idx="994">
                  <c:v>4264.0302968315455</c:v>
                </c:pt>
                <c:pt idx="995">
                  <c:v>4262.832487341414</c:v>
                </c:pt>
                <c:pt idx="996">
                  <c:v>4261.5386910439329</c:v>
                </c:pt>
                <c:pt idx="997">
                  <c:v>4260.1490819937799</c:v>
                </c:pt>
                <c:pt idx="998">
                  <c:v>4258.6638353219414</c:v>
                </c:pt>
                <c:pt idx="999">
                  <c:v>4257.0831273641406</c:v>
                </c:pt>
                <c:pt idx="1000">
                  <c:v>4255.4071357856101</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Pro98-6G Green</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0.04</c:v>
                </c:pt>
                <c:pt idx="2">
                  <c:v>0.08</c:v>
                </c:pt>
                <c:pt idx="3">
                  <c:v>0.20100000000000001</c:v>
                </c:pt>
                <c:pt idx="4">
                  <c:v>0.44700000000000001</c:v>
                </c:pt>
                <c:pt idx="5">
                  <c:v>0.67800000000000005</c:v>
                </c:pt>
                <c:pt idx="6">
                  <c:v>0.75800000000000001</c:v>
                </c:pt>
                <c:pt idx="7">
                  <c:v>0.85299999999999998</c:v>
                </c:pt>
                <c:pt idx="8">
                  <c:v>2.4249999999999998</c:v>
                </c:pt>
                <c:pt idx="9">
                  <c:v>2.52</c:v>
                </c:pt>
                <c:pt idx="10">
                  <c:v>2.7610000000000001</c:v>
                </c:pt>
                <c:pt idx="11">
                  <c:v>3.4340000000000002</c:v>
                </c:pt>
                <c:pt idx="12">
                  <c:v>3.7149999999999999</c:v>
                </c:pt>
                <c:pt idx="13">
                  <c:v>4.077</c:v>
                </c:pt>
                <c:pt idx="14">
                  <c:v>4.96</c:v>
                </c:pt>
                <c:pt idx="15">
                  <c:v>5.492</c:v>
                </c:pt>
                <c:pt idx="16">
                  <c:v>6.1050000000000004</c:v>
                </c:pt>
                <c:pt idx="17">
                  <c:v>6.4459999999999997</c:v>
                </c:pt>
                <c:pt idx="18">
                  <c:v>6.6470000000000002</c:v>
                </c:pt>
                <c:pt idx="19">
                  <c:v>7.0739999999999998</c:v>
                </c:pt>
                <c:pt idx="20">
                  <c:v>7.2389999999999999</c:v>
                </c:pt>
                <c:pt idx="21">
                  <c:v>7.2539999999999996</c:v>
                </c:pt>
                <c:pt idx="22">
                  <c:v>8</c:v>
                </c:pt>
              </c:numCache>
            </c:numRef>
          </c:xVal>
          <c:yVal>
            <c:numRef>
              <c:f>Propu!$B$4:$X$4</c:f>
              <c:numCache>
                <c:formatCode>General</c:formatCode>
                <c:ptCount val="23"/>
                <c:pt idx="0">
                  <c:v>0</c:v>
                </c:pt>
                <c:pt idx="1">
                  <c:v>1382.46</c:v>
                </c:pt>
                <c:pt idx="2">
                  <c:v>1699.1469999999999</c:v>
                </c:pt>
                <c:pt idx="3">
                  <c:v>1781.364</c:v>
                </c:pt>
                <c:pt idx="4">
                  <c:v>1793.5440000000001</c:v>
                </c:pt>
                <c:pt idx="5">
                  <c:v>1820.95</c:v>
                </c:pt>
                <c:pt idx="6">
                  <c:v>1927.527</c:v>
                </c:pt>
                <c:pt idx="7">
                  <c:v>1842.2660000000001</c:v>
                </c:pt>
                <c:pt idx="8">
                  <c:v>2088.9160000000002</c:v>
                </c:pt>
                <c:pt idx="9">
                  <c:v>2180.268</c:v>
                </c:pt>
                <c:pt idx="10">
                  <c:v>2198.538</c:v>
                </c:pt>
                <c:pt idx="11">
                  <c:v>2213.7640000000001</c:v>
                </c:pt>
                <c:pt idx="12">
                  <c:v>2268.5749999999998</c:v>
                </c:pt>
                <c:pt idx="13">
                  <c:v>2299.0259999999998</c:v>
                </c:pt>
                <c:pt idx="14">
                  <c:v>2238.1239999999998</c:v>
                </c:pt>
                <c:pt idx="15">
                  <c:v>2161.998</c:v>
                </c:pt>
                <c:pt idx="16">
                  <c:v>2024.97</c:v>
                </c:pt>
                <c:pt idx="17">
                  <c:v>1878.806</c:v>
                </c:pt>
                <c:pt idx="18">
                  <c:v>1668.6969999999999</c:v>
                </c:pt>
                <c:pt idx="19">
                  <c:v>602.923</c:v>
                </c:pt>
                <c:pt idx="20">
                  <c:v>140.07300000000001</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98 mm</c:v>
                </c:pt>
              </c:strCache>
            </c:strRef>
          </c:tx>
          <c:xVal>
            <c:numRef>
              <c:f>Abaco!$D$43:$D$51</c:f>
              <c:numCache>
                <c:formatCode>General\ "kg"</c:formatCode>
                <c:ptCount val="9"/>
                <c:pt idx="0">
                  <c:v>13.247999999999999</c:v>
                </c:pt>
                <c:pt idx="1">
                  <c:v>15.854249999999999</c:v>
                </c:pt>
                <c:pt idx="2">
                  <c:v>18.4605</c:v>
                </c:pt>
                <c:pt idx="3">
                  <c:v>21.066749999999999</c:v>
                </c:pt>
                <c:pt idx="4">
                  <c:v>23.672999999999998</c:v>
                </c:pt>
                <c:pt idx="5">
                  <c:v>26.279249999999998</c:v>
                </c:pt>
                <c:pt idx="6">
                  <c:v>28.8855</c:v>
                </c:pt>
                <c:pt idx="7">
                  <c:v>31.491749999999996</c:v>
                </c:pt>
                <c:pt idx="8">
                  <c:v>34.097999999999999</c:v>
                </c:pt>
              </c:numCache>
            </c:numRef>
          </c:xVal>
          <c:yVal>
            <c:numRef>
              <c:f>Abaco!$K$43:$K$51</c:f>
              <c:numCache>
                <c:formatCode>General" m/s"</c:formatCode>
                <c:ptCount val="9"/>
                <c:pt idx="0">
                  <c:v>750.44135799458877</c:v>
                </c:pt>
                <c:pt idx="1">
                  <c:v>701.17435982676375</c:v>
                </c:pt>
                <c:pt idx="2">
                  <c:v>643.60915332600018</c:v>
                </c:pt>
                <c:pt idx="3">
                  <c:v>585.50937356173131</c:v>
                </c:pt>
                <c:pt idx="4">
                  <c:v>530.99183989559106</c:v>
                </c:pt>
                <c:pt idx="5">
                  <c:v>481.65844294484691</c:v>
                </c:pt>
                <c:pt idx="6">
                  <c:v>437.78224573668729</c:v>
                </c:pt>
                <c:pt idx="7">
                  <c:v>399.03796292458992</c:v>
                </c:pt>
                <c:pt idx="8">
                  <c:v>364.88099563128782</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150 mm</c:v>
                </c:pt>
              </c:strCache>
            </c:strRef>
          </c:tx>
          <c:xVal>
            <c:numRef>
              <c:f>Abaco!$D$52:$D$60</c:f>
              <c:numCache>
                <c:formatCode>General\ "kg"</c:formatCode>
                <c:ptCount val="9"/>
                <c:pt idx="0">
                  <c:v>13.247999999999999</c:v>
                </c:pt>
                <c:pt idx="1">
                  <c:v>15.854249999999999</c:v>
                </c:pt>
                <c:pt idx="2">
                  <c:v>18.4605</c:v>
                </c:pt>
                <c:pt idx="3">
                  <c:v>21.066749999999999</c:v>
                </c:pt>
                <c:pt idx="4">
                  <c:v>23.672999999999998</c:v>
                </c:pt>
                <c:pt idx="5">
                  <c:v>26.279249999999998</c:v>
                </c:pt>
                <c:pt idx="6">
                  <c:v>28.8855</c:v>
                </c:pt>
                <c:pt idx="7">
                  <c:v>31.491749999999996</c:v>
                </c:pt>
                <c:pt idx="8">
                  <c:v>34.097999999999999</c:v>
                </c:pt>
              </c:numCache>
            </c:numRef>
          </c:xVal>
          <c:yVal>
            <c:numRef>
              <c:f>Abaco!$K$52:$K$60</c:f>
              <c:numCache>
                <c:formatCode>General" m/s"</c:formatCode>
                <c:ptCount val="9"/>
                <c:pt idx="0">
                  <c:v>508.37946869817569</c:v>
                </c:pt>
                <c:pt idx="1">
                  <c:v>496.70387675787509</c:v>
                </c:pt>
                <c:pt idx="2">
                  <c:v>478.83351718351247</c:v>
                </c:pt>
                <c:pt idx="3">
                  <c:v>456.07636798809341</c:v>
                </c:pt>
                <c:pt idx="4">
                  <c:v>430.43797746800067</c:v>
                </c:pt>
                <c:pt idx="5">
                  <c:v>403.70822042063696</c:v>
                </c:pt>
                <c:pt idx="6">
                  <c:v>377.1728326559782</c:v>
                </c:pt>
                <c:pt idx="7">
                  <c:v>351.6361214301503</c:v>
                </c:pt>
                <c:pt idx="8">
                  <c:v>327.53896272149069</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225 mm</c:v>
                </c:pt>
              </c:strCache>
            </c:strRef>
          </c:tx>
          <c:xVal>
            <c:numRef>
              <c:f>Abaco!$D$61:$D$69</c:f>
              <c:numCache>
                <c:formatCode>General\ "kg"</c:formatCode>
                <c:ptCount val="9"/>
                <c:pt idx="0">
                  <c:v>13.247999999999999</c:v>
                </c:pt>
                <c:pt idx="1">
                  <c:v>15.854249999999999</c:v>
                </c:pt>
                <c:pt idx="2">
                  <c:v>18.4605</c:v>
                </c:pt>
                <c:pt idx="3">
                  <c:v>21.066749999999999</c:v>
                </c:pt>
                <c:pt idx="4">
                  <c:v>23.672999999999998</c:v>
                </c:pt>
                <c:pt idx="5">
                  <c:v>26.279249999999998</c:v>
                </c:pt>
                <c:pt idx="6">
                  <c:v>28.8855</c:v>
                </c:pt>
                <c:pt idx="7">
                  <c:v>31.491749999999996</c:v>
                </c:pt>
                <c:pt idx="8">
                  <c:v>34.097999999999999</c:v>
                </c:pt>
              </c:numCache>
            </c:numRef>
          </c:xVal>
          <c:yVal>
            <c:numRef>
              <c:f>Abaco!$K$61:$K$69</c:f>
              <c:numCache>
                <c:formatCode>General" m/s"</c:formatCode>
                <c:ptCount val="9"/>
                <c:pt idx="0">
                  <c:v>340.63356189313731</c:v>
                </c:pt>
                <c:pt idx="1">
                  <c:v>337.42486956752759</c:v>
                </c:pt>
                <c:pt idx="2">
                  <c:v>332.91954587946378</c:v>
                </c:pt>
                <c:pt idx="3">
                  <c:v>326.56686990555647</c:v>
                </c:pt>
                <c:pt idx="4">
                  <c:v>318.23149615886496</c:v>
                </c:pt>
                <c:pt idx="5">
                  <c:v>308.12560672794257</c:v>
                </c:pt>
                <c:pt idx="6">
                  <c:v>296.64738693872835</c:v>
                </c:pt>
                <c:pt idx="7">
                  <c:v>284.24438136136928</c:v>
                </c:pt>
                <c:pt idx="8">
                  <c:v>271.33083582603956</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98 mm</c:v>
                </c:pt>
              </c:strCache>
            </c:strRef>
          </c:tx>
          <c:xVal>
            <c:numRef>
              <c:f>Abaco!$D$43:$D$51</c:f>
              <c:numCache>
                <c:formatCode>General\ "kg"</c:formatCode>
                <c:ptCount val="9"/>
                <c:pt idx="0">
                  <c:v>13.247999999999999</c:v>
                </c:pt>
                <c:pt idx="1">
                  <c:v>15.854249999999999</c:v>
                </c:pt>
                <c:pt idx="2">
                  <c:v>18.4605</c:v>
                </c:pt>
                <c:pt idx="3">
                  <c:v>21.066749999999999</c:v>
                </c:pt>
                <c:pt idx="4">
                  <c:v>23.672999999999998</c:v>
                </c:pt>
                <c:pt idx="5">
                  <c:v>26.279249999999998</c:v>
                </c:pt>
                <c:pt idx="6">
                  <c:v>28.8855</c:v>
                </c:pt>
                <c:pt idx="7">
                  <c:v>31.491749999999996</c:v>
                </c:pt>
                <c:pt idx="8">
                  <c:v>34.097999999999999</c:v>
                </c:pt>
              </c:numCache>
            </c:numRef>
          </c:xVal>
          <c:yVal>
            <c:numRef>
              <c:f>Abaco!$L$43:$L$51</c:f>
              <c:numCache>
                <c:formatCode>General" m"</c:formatCode>
                <c:ptCount val="9"/>
                <c:pt idx="0">
                  <c:v>7079.0725224484131</c:v>
                </c:pt>
                <c:pt idx="1">
                  <c:v>7462.3872848535502</c:v>
                </c:pt>
                <c:pt idx="2">
                  <c:v>7608.1541493400609</c:v>
                </c:pt>
                <c:pt idx="3">
                  <c:v>7560.0718703103284</c:v>
                </c:pt>
                <c:pt idx="4">
                  <c:v>7356.6026116744042</c:v>
                </c:pt>
                <c:pt idx="5">
                  <c:v>7035.1048663596439</c:v>
                </c:pt>
                <c:pt idx="6">
                  <c:v>6630.989390969452</c:v>
                </c:pt>
                <c:pt idx="7">
                  <c:v>6176.1410726797494</c:v>
                </c:pt>
                <c:pt idx="8">
                  <c:v>5697.6068490236903</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150 mm</c:v>
                </c:pt>
              </c:strCache>
            </c:strRef>
          </c:tx>
          <c:xVal>
            <c:numRef>
              <c:f>Abaco!$D$52:$D$60</c:f>
              <c:numCache>
                <c:formatCode>General\ "kg"</c:formatCode>
                <c:ptCount val="9"/>
                <c:pt idx="0">
                  <c:v>13.247999999999999</c:v>
                </c:pt>
                <c:pt idx="1">
                  <c:v>15.854249999999999</c:v>
                </c:pt>
                <c:pt idx="2">
                  <c:v>18.4605</c:v>
                </c:pt>
                <c:pt idx="3">
                  <c:v>21.066749999999999</c:v>
                </c:pt>
                <c:pt idx="4">
                  <c:v>23.672999999999998</c:v>
                </c:pt>
                <c:pt idx="5">
                  <c:v>26.279249999999998</c:v>
                </c:pt>
                <c:pt idx="6">
                  <c:v>28.8855</c:v>
                </c:pt>
                <c:pt idx="7">
                  <c:v>31.491749999999996</c:v>
                </c:pt>
                <c:pt idx="8">
                  <c:v>34.097999999999999</c:v>
                </c:pt>
              </c:numCache>
            </c:numRef>
          </c:xVal>
          <c:yVal>
            <c:numRef>
              <c:f>Abaco!$L$52:$L$60</c:f>
              <c:numCache>
                <c:formatCode>General" m"</c:formatCode>
                <c:ptCount val="9"/>
                <c:pt idx="0">
                  <c:v>4439.7021490752113</c:v>
                </c:pt>
                <c:pt idx="1">
                  <c:v>4608.5686999859681</c:v>
                </c:pt>
                <c:pt idx="2">
                  <c:v>4693.7256908465224</c:v>
                </c:pt>
                <c:pt idx="3">
                  <c:v>4710.0064997132977</c:v>
                </c:pt>
                <c:pt idx="4">
                  <c:v>4666.5378761688644</c:v>
                </c:pt>
                <c:pt idx="5">
                  <c:v>4571.3703954030279</c:v>
                </c:pt>
                <c:pt idx="6">
                  <c:v>4432.6495994786828</c:v>
                </c:pt>
                <c:pt idx="7">
                  <c:v>4258.7278090419213</c:v>
                </c:pt>
                <c:pt idx="8">
                  <c:v>4057.9431215195946</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225 mm</c:v>
                </c:pt>
              </c:strCache>
            </c:strRef>
          </c:tx>
          <c:xVal>
            <c:numRef>
              <c:f>Abaco!$D$61:$D$69</c:f>
              <c:numCache>
                <c:formatCode>General\ "kg"</c:formatCode>
                <c:ptCount val="9"/>
                <c:pt idx="0">
                  <c:v>13.247999999999999</c:v>
                </c:pt>
                <c:pt idx="1">
                  <c:v>15.854249999999999</c:v>
                </c:pt>
                <c:pt idx="2">
                  <c:v>18.4605</c:v>
                </c:pt>
                <c:pt idx="3">
                  <c:v>21.066749999999999</c:v>
                </c:pt>
                <c:pt idx="4">
                  <c:v>23.672999999999998</c:v>
                </c:pt>
                <c:pt idx="5">
                  <c:v>26.279249999999998</c:v>
                </c:pt>
                <c:pt idx="6">
                  <c:v>28.8855</c:v>
                </c:pt>
                <c:pt idx="7">
                  <c:v>31.491749999999996</c:v>
                </c:pt>
                <c:pt idx="8">
                  <c:v>34.097999999999999</c:v>
                </c:pt>
              </c:numCache>
            </c:numRef>
          </c:xVal>
          <c:yVal>
            <c:numRef>
              <c:f>Abaco!$L$61:$L$69</c:f>
              <c:numCache>
                <c:formatCode>General" m"</c:formatCode>
                <c:ptCount val="9"/>
                <c:pt idx="0">
                  <c:v>2881.8301387204101</c:v>
                </c:pt>
                <c:pt idx="1">
                  <c:v>2951.5535239698074</c:v>
                </c:pt>
                <c:pt idx="2">
                  <c:v>2987.561073288527</c:v>
                </c:pt>
                <c:pt idx="3">
                  <c:v>2997.5600933134806</c:v>
                </c:pt>
                <c:pt idx="4">
                  <c:v>2985.3927294738405</c:v>
                </c:pt>
                <c:pt idx="5">
                  <c:v>2953.4502951513841</c:v>
                </c:pt>
                <c:pt idx="6">
                  <c:v>2903.6480668728454</c:v>
                </c:pt>
                <c:pt idx="7">
                  <c:v>2837.8285233170618</c:v>
                </c:pt>
                <c:pt idx="8">
                  <c:v>2757.9092906890082</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98 mm</c:v>
                </c:pt>
              </c:strCache>
            </c:strRef>
          </c:tx>
          <c:xVal>
            <c:numRef>
              <c:f>Abaco!$D$43:$D$51</c:f>
              <c:numCache>
                <c:formatCode>General\ "kg"</c:formatCode>
                <c:ptCount val="9"/>
                <c:pt idx="0">
                  <c:v>13.247999999999999</c:v>
                </c:pt>
                <c:pt idx="1">
                  <c:v>15.854249999999999</c:v>
                </c:pt>
                <c:pt idx="2">
                  <c:v>18.4605</c:v>
                </c:pt>
                <c:pt idx="3">
                  <c:v>21.066749999999999</c:v>
                </c:pt>
                <c:pt idx="4">
                  <c:v>23.672999999999998</c:v>
                </c:pt>
                <c:pt idx="5">
                  <c:v>26.279249999999998</c:v>
                </c:pt>
                <c:pt idx="6">
                  <c:v>28.8855</c:v>
                </c:pt>
                <c:pt idx="7">
                  <c:v>31.491749999999996</c:v>
                </c:pt>
                <c:pt idx="8">
                  <c:v>34.097999999999999</c:v>
                </c:pt>
              </c:numCache>
            </c:numRef>
          </c:xVal>
          <c:yVal>
            <c:numRef>
              <c:f>Abaco!$M$43:$M$51</c:f>
              <c:numCache>
                <c:formatCode>General" s"</c:formatCode>
                <c:ptCount val="9"/>
                <c:pt idx="0">
                  <c:v>26.350943680826905</c:v>
                </c:pt>
                <c:pt idx="1">
                  <c:v>30.006686222715473</c:v>
                </c:pt>
                <c:pt idx="2">
                  <c:v>32.54799787380874</c:v>
                </c:pt>
                <c:pt idx="3">
                  <c:v>34.270364431715699</c:v>
                </c:pt>
                <c:pt idx="4">
                  <c:v>35.332336279773202</c:v>
                </c:pt>
                <c:pt idx="5">
                  <c:v>35.846550590060431</c:v>
                </c:pt>
                <c:pt idx="6">
                  <c:v>35.907968787946452</c:v>
                </c:pt>
                <c:pt idx="7">
                  <c:v>35.60319847646592</c:v>
                </c:pt>
                <c:pt idx="8">
                  <c:v>35.01245738552845</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150 mm</c:v>
                </c:pt>
              </c:strCache>
            </c:strRef>
          </c:tx>
          <c:xVal>
            <c:numRef>
              <c:f>Abaco!$D$52:$D$60</c:f>
              <c:numCache>
                <c:formatCode>General\ "kg"</c:formatCode>
                <c:ptCount val="9"/>
                <c:pt idx="0">
                  <c:v>13.247999999999999</c:v>
                </c:pt>
                <c:pt idx="1">
                  <c:v>15.854249999999999</c:v>
                </c:pt>
                <c:pt idx="2">
                  <c:v>18.4605</c:v>
                </c:pt>
                <c:pt idx="3">
                  <c:v>21.066749999999999</c:v>
                </c:pt>
                <c:pt idx="4">
                  <c:v>23.672999999999998</c:v>
                </c:pt>
                <c:pt idx="5">
                  <c:v>26.279249999999998</c:v>
                </c:pt>
                <c:pt idx="6">
                  <c:v>28.8855</c:v>
                </c:pt>
                <c:pt idx="7">
                  <c:v>31.491749999999996</c:v>
                </c:pt>
                <c:pt idx="8">
                  <c:v>34.097999999999999</c:v>
                </c:pt>
              </c:numCache>
            </c:numRef>
          </c:xVal>
          <c:yVal>
            <c:numRef>
              <c:f>Abaco!$M$52:$M$60</c:f>
              <c:numCache>
                <c:formatCode>General" s"</c:formatCode>
                <c:ptCount val="9"/>
                <c:pt idx="0">
                  <c:v>20.039975757275649</c:v>
                </c:pt>
                <c:pt idx="1">
                  <c:v>22.558866106366054</c:v>
                </c:pt>
                <c:pt idx="2">
                  <c:v>24.448148123980822</c:v>
                </c:pt>
                <c:pt idx="3">
                  <c:v>25.893860817593691</c:v>
                </c:pt>
                <c:pt idx="4">
                  <c:v>26.982603091329416</c:v>
                </c:pt>
                <c:pt idx="5">
                  <c:v>27.765879771232555</c:v>
                </c:pt>
                <c:pt idx="6">
                  <c:v>28.280961937771419</c:v>
                </c:pt>
                <c:pt idx="7">
                  <c:v>28.55910976688379</c:v>
                </c:pt>
                <c:pt idx="8">
                  <c:v>28.629126653239243</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225 mm</c:v>
                </c:pt>
              </c:strCache>
            </c:strRef>
          </c:tx>
          <c:xVal>
            <c:numRef>
              <c:f>Abaco!$D$61:$D$69</c:f>
              <c:numCache>
                <c:formatCode>General\ "kg"</c:formatCode>
                <c:ptCount val="9"/>
                <c:pt idx="0">
                  <c:v>13.247999999999999</c:v>
                </c:pt>
                <c:pt idx="1">
                  <c:v>15.854249999999999</c:v>
                </c:pt>
                <c:pt idx="2">
                  <c:v>18.4605</c:v>
                </c:pt>
                <c:pt idx="3">
                  <c:v>21.066749999999999</c:v>
                </c:pt>
                <c:pt idx="4">
                  <c:v>23.672999999999998</c:v>
                </c:pt>
                <c:pt idx="5">
                  <c:v>26.279249999999998</c:v>
                </c:pt>
                <c:pt idx="6">
                  <c:v>28.8855</c:v>
                </c:pt>
                <c:pt idx="7">
                  <c:v>31.491749999999996</c:v>
                </c:pt>
                <c:pt idx="8">
                  <c:v>34.097999999999999</c:v>
                </c:pt>
              </c:numCache>
            </c:numRef>
          </c:xVal>
          <c:yVal>
            <c:numRef>
              <c:f>Abaco!$M$61:$M$69</c:f>
              <c:numCache>
                <c:formatCode>General" s"</c:formatCode>
                <c:ptCount val="9"/>
                <c:pt idx="0">
                  <c:v>16.031263991664794</c:v>
                </c:pt>
                <c:pt idx="1">
                  <c:v>17.732743221157413</c:v>
                </c:pt>
                <c:pt idx="2">
                  <c:v>19.047427813618491</c:v>
                </c:pt>
                <c:pt idx="3">
                  <c:v>20.10785926659943</c:v>
                </c:pt>
                <c:pt idx="4">
                  <c:v>20.973288045093355</c:v>
                </c:pt>
                <c:pt idx="5">
                  <c:v>21.674903418961662</c:v>
                </c:pt>
                <c:pt idx="6">
                  <c:v>22.231614024801942</c:v>
                </c:pt>
                <c:pt idx="7">
                  <c:v>22.656620223506525</c:v>
                </c:pt>
                <c:pt idx="8">
                  <c:v>22.960451207771918</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700"/>
</file>

<file path=xl/ctrlProps/ctrlProp2.xml><?xml version="1.0" encoding="utf-8"?>
<formControlPr xmlns="http://schemas.microsoft.com/office/spreadsheetml/2009/9/main" objectType="Spin" dx="15" fmlaLink="$C$12" inc="100" max="30000" noThreeD="1" page="10" val="23673"/>
</file>

<file path=xl/ctrlProps/ctrlProp3.xml><?xml version="1.0" encoding="utf-8"?>
<formControlPr xmlns="http://schemas.microsoft.com/office/spreadsheetml/2009/9/main" objectType="Spin" dx="15" fmlaLink="$C$13" inc="50" max="30000" noThreeD="1" page="10" val="1999"/>
</file>

<file path=xl/ctrlProps/ctrlProp4.xml><?xml version="1.0" encoding="utf-8"?>
<formControlPr xmlns="http://schemas.microsoft.com/office/spreadsheetml/2009/9/main" objectType="Spin" dx="15" fmlaLink="$C$24" inc="20" max="30000" noThreeD="1" page="10" val="150"/>
</file>

<file path=xl/ctrlProps/ctrlProp5.xml><?xml version="1.0" encoding="utf-8"?>
<formControlPr xmlns="http://schemas.microsoft.com/office/spreadsheetml/2009/9/main" objectType="Spin" dx="15" fmlaLink="$C$28" inc="10" max="30000" noThreeD="1" page="10" val="360"/>
</file>

<file path=xl/ctrlProps/ctrlProp6.xml><?xml version="1.0" encoding="utf-8"?>
<formControlPr xmlns="http://schemas.microsoft.com/office/spreadsheetml/2009/9/main" objectType="Spin" dx="15" fmlaLink="$C$29" inc="10" max="30000" noThreeD="1" page="10" val="210"/>
</file>

<file path=xl/ctrlProps/ctrlProp7.xml><?xml version="1.0" encoding="utf-8"?>
<formControlPr xmlns="http://schemas.microsoft.com/office/spreadsheetml/2009/9/main" objectType="Spin" dx="15" fmlaLink="$C$30" inc="10" max="30000" noThreeD="1" page="10" val="310"/>
</file>

<file path=xl/ctrlProps/ctrlProp8.xml><?xml version="1.0" encoding="utf-8"?>
<formControlPr xmlns="http://schemas.microsoft.com/office/spreadsheetml/2009/9/main" objectType="Spin" dx="15" fmlaLink="$C$31" inc="10" max="30000" noThreeD="1" page="10" val="220"/>
</file>

<file path=xl/ctrlProps/ctrlProp9.xml><?xml version="1.0" encoding="utf-8"?>
<formControlPr xmlns="http://schemas.microsoft.com/office/spreadsheetml/2009/9/main" objectType="Spin" dx="15" fmlaLink="$C$32" max="30000" noThreeD="1" page="10" val="2"/>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2700"/>
</file>

<file path=xl/ctrlProps/ctrlProp12.xml><?xml version="1.0" encoding="utf-8"?>
<formControlPr xmlns="http://schemas.microsoft.com/office/spreadsheetml/2009/9/main" objectType="Spin" dx="15" fmlaLink="$C$12" inc="100" max="30000" noThreeD="1" page="10" val="23673"/>
</file>

<file path=xl/ctrlProps/ctrlProp13.xml><?xml version="1.0" encoding="utf-8"?>
<formControlPr xmlns="http://schemas.microsoft.com/office/spreadsheetml/2009/9/main" objectType="Spin" dx="15" fmlaLink="$C$12" inc="100" max="30000" noThreeD="1" page="10" val="23673"/>
</file>

<file path=xl/ctrlProps/ctrlProp14.xml><?xml version="1.0" encoding="utf-8"?>
<formControlPr xmlns="http://schemas.microsoft.com/office/spreadsheetml/2009/9/main" objectType="Spin" dx="15" fmlaLink="Stabilito!C12" inc="100" max="30000" noThreeD="1" page="10" val="23673"/>
</file>

<file path=xl/ctrlProps/ctrlProp15.xml><?xml version="1.0" encoding="utf-8"?>
<formControlPr xmlns="http://schemas.microsoft.com/office/spreadsheetml/2009/9/main" objectType="Spin" dx="15" fmlaLink="$B$44" inc="50" max="30000" noThreeD="1" page="10" val="249"/>
</file>

<file path=xl/ctrlProps/ctrlProp16.xml><?xml version="1.0" encoding="utf-8"?>
<formControlPr xmlns="http://schemas.microsoft.com/office/spreadsheetml/2009/9/main" objectType="Spin" dx="15" fmlaLink="$B$46" inc="50" max="30000" noThreeD="1" page="10" val="199"/>
</file>

<file path=xl/ctrlProps/ctrlProp17.xml><?xml version="1.0" encoding="utf-8"?>
<formControlPr xmlns="http://schemas.microsoft.com/office/spreadsheetml/2009/9/main" objectType="Spin" dx="15" fmlaLink="$B$52" inc="50" max="30000" noThreeD="1" page="10" val="450"/>
</file>

<file path=xl/ctrlProps/ctrlProp18.xml><?xml version="1.0" encoding="utf-8"?>
<formControlPr xmlns="http://schemas.microsoft.com/office/spreadsheetml/2009/9/main" objectType="Spin" dx="15" fmlaLink="$B$54" inc="5" max="30000" noThreeD="1" page="10" val="50"/>
</file>

<file path=xl/ctrlProps/ctrlProp19.xml><?xml version="1.0" encoding="utf-8"?>
<formControlPr xmlns="http://schemas.microsoft.com/office/spreadsheetml/2009/9/main" objectType="Spin" dx="15" fmlaLink="Stabilito!C12" inc="100" max="30000" noThreeD="1" page="10" val="23673"/>
</file>

<file path=xl/ctrlProps/ctrlProp20.xml><?xml version="1.0" encoding="utf-8"?>
<formControlPr xmlns="http://schemas.microsoft.com/office/spreadsheetml/2009/9/main" objectType="Spin" dx="15" fmlaLink="Stabilito!C12" inc="100" max="30000" noThreeD="1" page="10" val="23673"/>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59650" y="187325"/>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986790</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72390</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567690</xdr:colOff>
      <xdr:row>9</xdr:row>
      <xdr:rowOff>33655</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4016" y="7984804"/>
          <a:ext cx="1043070" cy="1038342"/>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27704" y="6532016"/>
          <a:ext cx="1469283" cy="1163701"/>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Normal="100" zoomScaleSheetLayoutView="100" workbookViewId="0">
      <selection activeCell="C14" sqref="C14:D14"/>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68" t="s">
        <v>53</v>
      </c>
      <c r="D2" s="568"/>
      <c r="L2" s="147" t="str">
        <f>"Language/Langue"</f>
        <v>Language/Langue</v>
      </c>
      <c r="M2" s="544" t="s">
        <v>1</v>
      </c>
      <c r="N2" s="544"/>
      <c r="O2" s="544"/>
      <c r="P2" s="545"/>
      <c r="Q2" s="27"/>
    </row>
    <row r="3" spans="1:20" ht="12.75" customHeight="1" x14ac:dyDescent="0.2">
      <c r="A3" s="25"/>
      <c r="C3" s="568"/>
      <c r="D3" s="568"/>
      <c r="L3" s="555"/>
      <c r="M3" s="555"/>
      <c r="N3" s="45"/>
      <c r="Q3" s="27"/>
    </row>
    <row r="4" spans="1:20" ht="12.75" customHeight="1" x14ac:dyDescent="0.2">
      <c r="A4" s="25"/>
      <c r="C4" s="569" t="str">
        <f>IF(Lang="Français","Stabilité de fusée à ailerons",IF(Lang="English","Stability for rocket with fins",""))</f>
        <v>Stabilité de fusée à ailerons</v>
      </c>
      <c r="D4" s="569"/>
      <c r="L4" s="33"/>
      <c r="M4" s="544" t="s">
        <v>545</v>
      </c>
      <c r="N4" s="544"/>
      <c r="O4" s="544"/>
      <c r="P4" s="545"/>
      <c r="Q4" s="27"/>
    </row>
    <row r="5" spans="1:20" ht="12.75" customHeight="1" x14ac:dyDescent="0.25">
      <c r="A5" s="25"/>
      <c r="B5" s="28"/>
      <c r="C5" s="583"/>
      <c r="D5" s="583"/>
      <c r="L5" s="33"/>
      <c r="M5" s="575" t="s">
        <v>156</v>
      </c>
      <c r="N5" s="576"/>
      <c r="O5" s="558" t="s">
        <v>157</v>
      </c>
      <c r="P5" s="558"/>
      <c r="Q5" s="29"/>
    </row>
    <row r="6" spans="1:20" ht="12.75" customHeight="1" thickBot="1" x14ac:dyDescent="0.25">
      <c r="A6" s="25"/>
      <c r="B6" s="87"/>
      <c r="C6" s="593" t="str">
        <f>IF(Lang="Français","Remplir les cases jaunes",IF(Lang="English","Fill-in yellow cells only",""))</f>
        <v>Remplir les cases jaunes</v>
      </c>
      <c r="D6" s="593"/>
      <c r="L6" s="139" t="str">
        <f>IF(Lang="Français","Longueur      'L'",IF(Lang="English","Length      'L'",""))</f>
        <v>Longueur      'L'</v>
      </c>
      <c r="M6" s="564">
        <v>50</v>
      </c>
      <c r="N6" s="565"/>
      <c r="O6" s="550">
        <v>50</v>
      </c>
      <c r="P6" s="550"/>
      <c r="Q6" s="29"/>
    </row>
    <row r="7" spans="1:20" ht="12.75" customHeight="1" thickTop="1" thickBot="1" x14ac:dyDescent="0.25">
      <c r="A7" s="25"/>
      <c r="B7" s="31"/>
      <c r="C7" s="571" t="str">
        <f>IF(Lang="Français","Fusée",IF(Lang="English","Rocket",""))</f>
        <v>Fusée</v>
      </c>
      <c r="D7" s="572"/>
      <c r="L7" s="139" t="str">
        <f>IF(Lang="Français","Diamètre     'D1'",IF(Lang="English","Diameter 'D1'",""))</f>
        <v>Diamètre     'D1'</v>
      </c>
      <c r="M7" s="564">
        <f>D_og</f>
        <v>150</v>
      </c>
      <c r="N7" s="565"/>
      <c r="O7" s="550">
        <f>D2j</f>
        <v>300</v>
      </c>
      <c r="P7" s="550"/>
      <c r="Q7" s="29"/>
    </row>
    <row r="8" spans="1:20" ht="12.75" customHeight="1" thickTop="1" x14ac:dyDescent="0.2">
      <c r="A8" s="25"/>
      <c r="B8" s="138" t="str">
        <f>IF(Lang="Français","Nom",IF(Lang="English","Name",""))</f>
        <v>Nom</v>
      </c>
      <c r="C8" s="594"/>
      <c r="D8" s="594"/>
      <c r="E8" s="90"/>
      <c r="K8" s="33"/>
      <c r="L8" s="139" t="str">
        <f>IF(Lang="Français","Diamètre     'D2'",IF(Lang="English","Diameter 'D2'",""))</f>
        <v>Diamètre     'D2'</v>
      </c>
      <c r="M8" s="564">
        <v>300</v>
      </c>
      <c r="N8" s="565"/>
      <c r="O8" s="550">
        <f>D_og</f>
        <v>150</v>
      </c>
      <c r="P8" s="550"/>
      <c r="Q8" s="29"/>
    </row>
    <row r="9" spans="1:20" ht="12.75" customHeight="1" x14ac:dyDescent="0.2">
      <c r="A9" s="25"/>
      <c r="B9" s="138" t="s">
        <v>4</v>
      </c>
      <c r="C9" s="595" t="s">
        <v>572</v>
      </c>
      <c r="D9" s="595"/>
      <c r="E9" s="90"/>
      <c r="K9" s="33"/>
      <c r="L9" s="139" t="str">
        <f>IF(Lang="Français","Implantation 'x'",IF(Lang="English","Basement 'x'",""))</f>
        <v>Implantation 'x'</v>
      </c>
      <c r="M9" s="564">
        <v>1000</v>
      </c>
      <c r="N9" s="565"/>
      <c r="O9" s="550">
        <v>500</v>
      </c>
      <c r="P9" s="550"/>
      <c r="Q9" s="29"/>
    </row>
    <row r="10" spans="1:20" ht="12.75" customHeight="1" x14ac:dyDescent="0.2">
      <c r="A10" s="25"/>
      <c r="B10" s="138" t="s">
        <v>561</v>
      </c>
      <c r="C10" s="537" t="str">
        <f>IF((LEFT(Type_fusee,4)="Mini"),"MF",(IF((RIGHT(Type_fusee,1)="."),"FX","")))</f>
        <v>FX</v>
      </c>
      <c r="D10" s="538"/>
      <c r="E10" s="539" t="str">
        <f>IF(C10="","",C10&amp;D10)</f>
        <v>FX</v>
      </c>
      <c r="K10" s="33"/>
      <c r="Q10" s="29"/>
    </row>
    <row r="11" spans="1:20" ht="12.75" customHeight="1" x14ac:dyDescent="0.2">
      <c r="A11" s="25"/>
      <c r="B11" s="139" t="s">
        <v>54</v>
      </c>
      <c r="C11" s="573" t="s">
        <v>566</v>
      </c>
      <c r="D11" s="574"/>
      <c r="E11" s="90"/>
      <c r="K11" s="33"/>
      <c r="L11" s="107"/>
      <c r="M11" s="224" t="str">
        <f>IF(Lang="Français","Propu plein",IF(Lang="English","Loaded Motor",""))</f>
        <v>Propu plein</v>
      </c>
      <c r="N11" s="556" t="str">
        <f>IF(Lang="Français","Propu vide",IF(Lang="English","Empty Motor",""))</f>
        <v>Propu vide</v>
      </c>
      <c r="O11" s="557"/>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23673</v>
      </c>
      <c r="D12" s="34" t="s">
        <v>567</v>
      </c>
      <c r="L12" s="108" t="str">
        <f>IF(Lang="Français","Masse propu",IF(Lang="English","Motor Mass",""))</f>
        <v>Masse propu</v>
      </c>
      <c r="M12" s="109">
        <f ca="1">MpropuPlein</f>
        <v>13.247999999999999</v>
      </c>
      <c r="N12" s="548">
        <f ca="1">MpropuVide</f>
        <v>4.6639999999999997</v>
      </c>
      <c r="O12" s="549"/>
      <c r="P12" s="110" t="s">
        <v>14</v>
      </c>
      <c r="Q12" s="29"/>
      <c r="S12" s="386" t="str">
        <f>IF(Lang="Français","Haut",IF(Lang="English","Top",""))</f>
        <v>Haut</v>
      </c>
      <c r="T12" s="387">
        <f ca="1">XpropuRef-Long_propu</f>
        <v>1690</v>
      </c>
    </row>
    <row r="13" spans="1:20" ht="12.75" customHeight="1" x14ac:dyDescent="0.2">
      <c r="A13" s="25"/>
      <c r="B13" s="139" t="str">
        <f>IF(Lang="Français","Centre de Masse",IF(Lang="English","Center of Mass",""))</f>
        <v>Centre de Masse</v>
      </c>
      <c r="C13" s="35">
        <v>1999</v>
      </c>
      <c r="D13" s="34" t="s">
        <v>567</v>
      </c>
      <c r="L13" s="108" t="str">
        <f>IF(Lang="Français","CdM propu",IF(Lang="English","Motor CoM",""))</f>
        <v>CdM propu</v>
      </c>
      <c r="M13" s="111">
        <f ca="1">XpropuPlein</f>
        <v>505</v>
      </c>
      <c r="N13" s="546">
        <f ca="1">XpropuVide</f>
        <v>505</v>
      </c>
      <c r="O13" s="547"/>
      <c r="P13" s="110" t="s">
        <v>14</v>
      </c>
      <c r="Q13" s="29"/>
      <c r="S13" s="386" t="str">
        <f>IF(Lang="Français","Longueur",IF(Lang="English","Length",""))</f>
        <v>Longueur</v>
      </c>
      <c r="T13" s="387">
        <f ca="1">Long_propu</f>
        <v>1010</v>
      </c>
    </row>
    <row r="14" spans="1:20" ht="12.6" customHeight="1" x14ac:dyDescent="0.2">
      <c r="A14" s="25"/>
      <c r="B14" s="139" t="str">
        <f>IF(Lang="Français","Longueur totale",IF(Lang="English","Total length",""))</f>
        <v>Longueur totale</v>
      </c>
      <c r="C14" s="564">
        <v>2700</v>
      </c>
      <c r="D14" s="565"/>
      <c r="L14" s="108" t="str">
        <f>IF(Lang="Français","Masse fusée",IF(Lang="English","Rocket Mass",""))</f>
        <v>Masse fusée</v>
      </c>
      <c r="M14" s="112">
        <f ca="1">MasseSans+MpropuPlein</f>
        <v>23.672999999999998</v>
      </c>
      <c r="N14" s="577">
        <f ca="1">MasseSans+MpropuVide</f>
        <v>15.088999999999999</v>
      </c>
      <c r="O14" s="578"/>
      <c r="P14" s="109">
        <f ca="1">IF(OR(D12="sans propu",D12="without motor"),C12/1000,IF(OR(D12="avec propu vide",D12="with empty motor"),C12/1000-MpropuVide,IF(OR(D12="avec propu plein",D12="with loaded motor"),C12/1000-MpropuPlein,"Erreur")))</f>
        <v>10.424999999999999</v>
      </c>
      <c r="Q14" s="29"/>
      <c r="S14" s="386" t="str">
        <f>IF(Lang="Français","Bas",IF(Lang="English","Base",""))</f>
        <v>Bas</v>
      </c>
      <c r="T14" s="387">
        <f>XpropuRef</f>
        <v>2700</v>
      </c>
    </row>
    <row r="15" spans="1:20" ht="12.75" customHeight="1" x14ac:dyDescent="0.2">
      <c r="A15" s="25"/>
      <c r="B15" s="139" t="str">
        <f>IF(Lang="Français","Diamètre Réf.",IF(Lang="English","Ref. Diameter",""))</f>
        <v>Diamètre Réf.</v>
      </c>
      <c r="C15" s="564">
        <f>D_og</f>
        <v>150</v>
      </c>
      <c r="D15" s="565"/>
      <c r="L15" s="175" t="str">
        <f>IF(Lang="Français","CdM fusée",IF(Lang="English","Rocket CoM",""))</f>
        <v>CdM fusée</v>
      </c>
      <c r="M15" s="176">
        <f ca="1">(XcgSans*MasseSans+(XpropuRef-Long_propu+XpropuPlein)*MpropuPlein)/MassePlein</f>
        <v>1999</v>
      </c>
      <c r="N15" s="579">
        <f ca="1">(XcgSans*MasseSans+(XpropuRef-Long_propu+XpropuVide)*MpropuVide)/MasseVide</f>
        <v>1887.4973159255089</v>
      </c>
      <c r="O15" s="580"/>
      <c r="P15" s="113">
        <f ca="1">IF(OR(D13="sans propu",D13="without motor"),C13,IF(OR(D13="avec propu vide",D13="with empty motor"),(C13*MasseVide-(XpropuRef-Long_propu+XpropuVide)*MpropuVide)/MasseSans,IF(OR(D13="avec propu plein",D13="with loaded motor"),(C13*MassePlein-(XpropuRef-Long_propu+XpropuPlein)*MpropuPlein)/MasseSans,"Erreur")))</f>
        <v>1749.9248920863311</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0" ht="12.75" customHeight="1" thickTop="1" thickBot="1" x14ac:dyDescent="0.25">
      <c r="A17" s="25"/>
      <c r="C17" s="585" t="str">
        <f>IF(Lang="Français","Propulseur",IF(Lang="English","Motor",""))</f>
        <v>Propulseur</v>
      </c>
      <c r="D17" s="586"/>
      <c r="L17" s="114"/>
      <c r="M17" s="581" t="s">
        <v>55</v>
      </c>
      <c r="N17" s="582"/>
      <c r="O17" s="559" t="s">
        <v>65</v>
      </c>
      <c r="P17" s="559"/>
      <c r="Q17" s="29"/>
      <c r="S17" s="386" t="str">
        <f>IF(Lang="Français","Haut","Top")</f>
        <v>Haut</v>
      </c>
      <c r="T17" s="387">
        <f>X_ail-m_ail</f>
        <v>2340</v>
      </c>
    </row>
    <row r="18" spans="1:20" ht="12.75" customHeight="1" thickTop="1" x14ac:dyDescent="0.2">
      <c r="A18" s="25"/>
      <c r="B18" s="139" t="s">
        <v>54</v>
      </c>
      <c r="C18" s="587" t="s">
        <v>554</v>
      </c>
      <c r="D18" s="588"/>
      <c r="K18" s="37"/>
      <c r="L18" s="108" t="str">
        <f>IF(Lang="Français","Coiffe",IF(Lang="English","Nose Cone",""))</f>
        <v>Coiffe</v>
      </c>
      <c r="M18" s="553">
        <f>IF(LEFT(Forme_ogive,5)="Parab",1/2*Long_ogive,IF(LEFT(Forme_ogive,4)="Ogiv",7/15*Long_ogive,IF(LEFT(Forme_ogive,3)="Con",2/3*Long_ogive)))</f>
        <v>466.66666666666663</v>
      </c>
      <c r="N18" s="554"/>
      <c r="O18" s="560">
        <f>2*POWER(D_og/D_ref, 2)</f>
        <v>2</v>
      </c>
      <c r="P18" s="560"/>
      <c r="Q18" s="29"/>
      <c r="S18" s="386" t="str">
        <f>IF(Lang="Français","Emplanture","Root edge")</f>
        <v>Emplanture</v>
      </c>
      <c r="T18" s="387">
        <f>m_ail</f>
        <v>360</v>
      </c>
    </row>
    <row r="19" spans="1:20" ht="12.75" customHeight="1" x14ac:dyDescent="0.2">
      <c r="A19" s="25"/>
      <c r="B19" s="139" t="str">
        <f>IF(Lang="Français","Position du bas",IF(Lang="English","Basement",""))</f>
        <v>Position du bas</v>
      </c>
      <c r="C19" s="550">
        <f>Long_tot</f>
        <v>2700</v>
      </c>
      <c r="D19" s="550"/>
      <c r="L19" s="108" t="str">
        <f>IF(Lang="Français","Ailerons",IF(Lang="English","Fins",""))</f>
        <v>Ailerons</v>
      </c>
      <c r="M19" s="553">
        <f>(XCpa*Cnail-0.5*XCpi*Cni)/Cnai</f>
        <v>2554.2982456140353</v>
      </c>
      <c r="N19" s="554"/>
      <c r="O19" s="589">
        <f>Cnail-Cni/2</f>
        <v>17.208248562733591</v>
      </c>
      <c r="P19" s="590"/>
      <c r="Q19" s="29"/>
      <c r="S19" s="386" t="str">
        <f>IF(Lang="Français","Bas","Base")</f>
        <v>Bas</v>
      </c>
      <c r="T19" s="387">
        <f>X_ail</f>
        <v>2700</v>
      </c>
    </row>
    <row r="20" spans="1:20" ht="12.75" customHeight="1" thickBot="1" x14ac:dyDescent="0.25">
      <c r="A20" s="25"/>
      <c r="B20" s="428" t="str">
        <f>IF(Propu="Cariacou","Cariacou :"," ")</f>
        <v xml:space="preserve"> </v>
      </c>
      <c r="C20" s="563" t="str">
        <f>IF(Propu="Pandora (Pro24-6G)",IF(Lang="Français","C'Space Seulement",IF(Lang="English","C'Space only","")),"")</f>
        <v/>
      </c>
      <c r="D20" s="563"/>
      <c r="L20" s="108" t="str">
        <f>IF(Lang="Français","Ail bas entier",IF(Lang="English","Total Lower Fins",""))</f>
        <v>Ail bas entier</v>
      </c>
      <c r="M20" s="553">
        <f>X_ail-m_ail+p_ail*(m_ail+2*n_ail)/(3*(m_ail+n_ail))+(m_ail+n_ail-m_ail*n_ail/(m_ail+n_ail))/6</f>
        <v>2554.2982456140353</v>
      </c>
      <c r="N20" s="554"/>
      <c r="O20" s="560">
        <f>4*Q_ail*POWER((E_ail/D_ref),2)*(1+D_ail/(2*E_ail+D_ail))/(1+SQRT(1+POWER(2*f_ail/(m_ail+n_ail),2)))</f>
        <v>17.208248562733591</v>
      </c>
      <c r="P20" s="560"/>
      <c r="Q20" s="29"/>
    </row>
    <row r="21" spans="1:20" ht="12.75" customHeight="1" thickTop="1" thickBot="1" x14ac:dyDescent="0.25">
      <c r="A21" s="25"/>
      <c r="B21" s="30"/>
      <c r="C21" s="591" t="str">
        <f>IF(Lang="Français","Coiffe",IF(Lang="English","Nose Cone",""))</f>
        <v>Coiffe</v>
      </c>
      <c r="D21" s="592"/>
      <c r="L21" s="108" t="str">
        <f>IF(Lang="Français","Ailerons haut",IF(Lang="English","Upper Fins",""))</f>
        <v>Ailerons haut</v>
      </c>
      <c r="M21" s="553">
        <f>IF(LEFT(Type_masquage,1)="M",0, X_can-m_can+p_can*(m_can+2*n_can)/(3*(m_can+n_can))+(m_can+n_can-m_can*n_can/(m_can+n_can))/6)</f>
        <v>0</v>
      </c>
      <c r="N21" s="554"/>
      <c r="O21" s="560">
        <f>IF(LEFT(Type_masquage,1)="M",0, 4*Q_can*POWER((E_can/D_ref),2)*(1+D_can/(2*E_can+D_can))/(1+SQRT(1+POWER(2*f_can/(m_can+n_can),2))))</f>
        <v>0</v>
      </c>
      <c r="P21" s="560"/>
      <c r="Q21" s="29"/>
    </row>
    <row r="22" spans="1:20" ht="12.75" customHeight="1" thickTop="1" x14ac:dyDescent="0.2">
      <c r="A22" s="25"/>
      <c r="B22" s="139" t="str">
        <f>IF(Lang="Français","Forme",IF(Lang="English","Shape",""))</f>
        <v>Forme</v>
      </c>
      <c r="C22" s="566" t="s">
        <v>568</v>
      </c>
      <c r="D22" s="567"/>
      <c r="L22" s="108" t="str">
        <f>IF(Lang="Français","Partie masquée",IF(Lang="English","Interation zone",""))</f>
        <v>Partie masquée</v>
      </c>
      <c r="M22" s="570">
        <f>IF(LEFT(Type_masquage,1)="B", X_int-m_int+p_int*(m_int+2*n_int)/(3*(m_int+n_int))+(m_int+n_int-m_int*n_int/(m_int+n_int))/6, 0 )</f>
        <v>0</v>
      </c>
      <c r="N22" s="570"/>
      <c r="O22" s="589">
        <f>IF(LEFT(Type_masquage,1)="B", 4*Q_int*POWER((E_int/D_ref),2)*(1+D_int/(2*E_int+D_int))/(1+SQRT(1+POWER(2*f_int/(m_int+n_int),2))), 0 )</f>
        <v>0</v>
      </c>
      <c r="P22" s="590"/>
      <c r="Q22" s="29"/>
    </row>
    <row r="23" spans="1:20" ht="12.75" customHeight="1" x14ac:dyDescent="0.2">
      <c r="A23" s="25"/>
      <c r="B23" s="139" t="str">
        <f>IF(Lang="Français","Hauteur",IF(Lang="English","Heigth",""))</f>
        <v>Hauteur</v>
      </c>
      <c r="C23" s="564">
        <v>700</v>
      </c>
      <c r="D23" s="565"/>
      <c r="L23" s="108" t="s">
        <v>156</v>
      </c>
      <c r="M23" s="553">
        <f>IF(OR(RIGHT(Nb_diam,1)=",",D2j=0),0, X_j+l_j/3*(1+1/(1+D1j/D2j)) )</f>
        <v>0</v>
      </c>
      <c r="N23" s="554"/>
      <c r="O23" s="560">
        <f>IF(OR(RIGHT(Nb_diam,1)=",",D2j=0),0,2*(POWER(D2j/D_ref,2)-POWER(D1j/D_ref,2)))</f>
        <v>0</v>
      </c>
      <c r="P23" s="560"/>
      <c r="Q23" s="29"/>
    </row>
    <row r="24" spans="1:20" ht="12.75" customHeight="1" thickBot="1" x14ac:dyDescent="0.25">
      <c r="A24" s="25"/>
      <c r="B24" s="139" t="str">
        <f>IF(Lang="Français","Diamètre",IF(Lang="English","Diameter",""))</f>
        <v>Diamètre</v>
      </c>
      <c r="C24" s="564">
        <v>150</v>
      </c>
      <c r="D24" s="565"/>
      <c r="L24" s="108" t="s">
        <v>157</v>
      </c>
      <c r="M24" s="553">
        <f>IF( OR(RIGHT(Nb_diam,1)=",",D2r=0), 0, X_r+l_r/3*(1+1/(1+D1r/D2r)) )</f>
        <v>0</v>
      </c>
      <c r="N24" s="554"/>
      <c r="O24" s="560">
        <f>IF( OR(RIGHT(Nb_diam,1)=",",D2r=0), 0, 2*(POWER(D2r/D_ref,2)-POWER(D1r/D_ref,2)) )</f>
        <v>0</v>
      </c>
      <c r="P24" s="560"/>
      <c r="Q24" s="29"/>
    </row>
    <row r="25" spans="1:20" ht="12.75" customHeight="1" thickBot="1" x14ac:dyDescent="0.25">
      <c r="A25" s="25"/>
      <c r="E25" s="180" t="s">
        <v>151</v>
      </c>
      <c r="L25" s="38"/>
      <c r="M25" s="38"/>
      <c r="N25" s="38"/>
      <c r="Q25" s="29"/>
      <c r="R25" s="38"/>
      <c r="S25" s="388" t="e">
        <f ca="1">IF(AND(Portee_balistique&gt;200,LEFT(Type_propu,3)="Min"),IF(Lang="Français","Fusée trop lègère !","Rocket too light"),"")</f>
        <v>#N/A</v>
      </c>
    </row>
    <row r="26" spans="1:20"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46108</v>
      </c>
      <c r="G26" s="137" t="s">
        <v>62</v>
      </c>
      <c r="H26" s="584" t="str">
        <f>IF(Lang="Français","Résultats",IF(Lang="English","Results",""))</f>
        <v>Résultats</v>
      </c>
      <c r="I26" s="584"/>
      <c r="J26" s="137" t="s">
        <v>63</v>
      </c>
      <c r="K26" s="32"/>
      <c r="L26" s="38"/>
      <c r="M26" s="38"/>
      <c r="N26" s="38"/>
      <c r="Q26" s="29"/>
      <c r="R26" s="38"/>
      <c r="S26" s="388" t="str">
        <f ca="1">IF(AND(Vsortie_de_rampe&lt;18, OR(LEFT(Type_fusee,1)=",",LEFT(Type_fusee,4)="Mini",LEFT(Type_fusee,1)="R")),IF(Lang="Français","Fusée trop lourde ou rampe trop courte !","Rocket too heavy or launch pad too small!"),"")</f>
        <v/>
      </c>
    </row>
    <row r="27" spans="1:20" ht="12.75" customHeight="1" thickTop="1" x14ac:dyDescent="0.2">
      <c r="A27" s="25"/>
      <c r="B27" s="30"/>
      <c r="C27" s="561" t="s">
        <v>421</v>
      </c>
      <c r="D27" s="562"/>
      <c r="E27" s="146">
        <f>m_ail</f>
        <v>360</v>
      </c>
      <c r="F27" s="105" t="s">
        <v>64</v>
      </c>
      <c r="G27" s="104">
        <f>IF(RIGHT(Type_fusee,1)=".",10, IF(OR(LEFT(Type_fusee,1)="R",LEFT(Type_fusee,1)=",",LEFT(Type_fusee,4)="Mini"),10, IF(LEFT(Type_fusee,5)="Micro",10, IF(RIGHT(Type_fusee,1)=" ",1))))</f>
        <v>10</v>
      </c>
      <c r="H27" s="551">
        <f>Long_tot/D_ref</f>
        <v>18</v>
      </c>
      <c r="I27" s="552"/>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0" ht="12.75" customHeight="1" x14ac:dyDescent="0.2">
      <c r="A28" s="25"/>
      <c r="B28" s="524" t="str">
        <f>IF(Lang="Français"," Emplanture  'm'",IF(Lang="English"," Root edge  'm'",""))</f>
        <v xml:space="preserve"> Emplanture  'm'</v>
      </c>
      <c r="C28" s="177">
        <v>360</v>
      </c>
      <c r="D28" s="177">
        <v>70</v>
      </c>
      <c r="E28" s="146">
        <f>n_ail+(m_ail-n_ail)*(1-E_int/E_ail)</f>
        <v>325.90909090909088</v>
      </c>
      <c r="F28" s="105" t="str">
        <f>IF(Lang="Français","Portance","Lift")</f>
        <v>Portance</v>
      </c>
      <c r="G28" s="104">
        <f>IF(RIGHT(Type_fusee,1)=".",15,IF(OR(LEFT(Type_fusee,1)="R",LEFT(Type_fusee,1)=",",LEFT(Type_fusee,4)="Mini"),15, IF(LEFT(Type_fusee,5)="Micro",15, IF(RIGHT(Type_fusee,1)=" ",15))))</f>
        <v>15</v>
      </c>
      <c r="H28" s="508">
        <f>Cnai+Cnc+Cno+Cnj+Cnr</f>
        <v>19.208248562733591</v>
      </c>
      <c r="I28" s="508">
        <f>Cnail+Cnc+Cno+Cnj+Cnr</f>
        <v>19.208248562733591</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0" ht="12.75" customHeight="1" x14ac:dyDescent="0.2">
      <c r="A29" s="25"/>
      <c r="B29" s="524" t="str">
        <f>IF(Lang="Français"," Saumon       'n'",IF(Lang="English"," Tip edge    'n'",""))</f>
        <v xml:space="preserve"> Saumon       'n'</v>
      </c>
      <c r="C29" s="35">
        <v>210</v>
      </c>
      <c r="D29" s="35">
        <v>10</v>
      </c>
      <c r="E29" s="146">
        <f>p_ail*E_int/E_ail</f>
        <v>70.454545454545453</v>
      </c>
      <c r="F29" s="515" t="str">
        <f>IF(Lang="Français","MargeStat.","StatMargin")</f>
        <v>MargeStat.</v>
      </c>
      <c r="G29" s="510">
        <f>IF(RIGHT(Type_fusee,1)=".",2, IF(OR(LEFT(Type_fusee,1)="R",LEFT(Type_fusee,1)=",",LEFT(Type_fusee,4)="Mini"),1.5, IF(LEFT(Type_fusee,5)="Micro",1, IF(RIGHT(Type_fusee,1)=" ",1))))</f>
        <v>2</v>
      </c>
      <c r="H29" s="97">
        <f ca="1">(XCp-XcgPlein)/D_ref</f>
        <v>2.2528667130026587</v>
      </c>
      <c r="I29" s="98">
        <f ca="1">(XCp0-XcgVide)/D_ref</f>
        <v>2.9962179401659328</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row>
    <row r="30" spans="1:20" ht="12.75" customHeight="1" x14ac:dyDescent="0.2">
      <c r="A30" s="25"/>
      <c r="B30" s="524" t="str">
        <f>IF(Lang="Français"," Flèche          'p'"," Offset         'p'")</f>
        <v xml:space="preserve"> Flèche          'p'</v>
      </c>
      <c r="C30" s="35">
        <v>310</v>
      </c>
      <c r="D30" s="35">
        <v>40</v>
      </c>
      <c r="E30" s="146">
        <f>IF(D_can/2+E_can&lt;=D_ail/2,0, IF(D_can/2+E_can&gt;=D_ail/2+E_ail,E_ail,  D_can/2+E_can - D_ail/2  ) )</f>
        <v>50</v>
      </c>
      <c r="F30" s="516" t="str">
        <f>IF(Lang="Français","Couple","Torque")</f>
        <v>Couple</v>
      </c>
      <c r="G30" s="511">
        <f>IF(RIGHT(Type_fusee,1)=".",40, IF(OR(LEFT(Type_fusee,1)="R",LEFT(Type_fusee,1)=",",LEFT(Type_fusee,4)="Mini"),30, IF(LEFT(Type_fusee,5)="Micro",15, IF(RIGHT(Type_fusee,1)=" ",15))))</f>
        <v>40</v>
      </c>
      <c r="H30" s="99">
        <f ca="1">MS_min*Cn</f>
        <v>43.273623802063668</v>
      </c>
      <c r="I30" s="96">
        <f ca="1">MS_max*Cn0</f>
        <v>57.552098942828877</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row>
    <row r="31" spans="1:20" ht="12.75" customHeight="1" x14ac:dyDescent="0.2">
      <c r="A31" s="25"/>
      <c r="B31" s="524" t="str">
        <f>IF(Lang="Français"," Envergure     'E'",IF(Lang="English"," Span          'E'",""))</f>
        <v xml:space="preserve"> Envergure     'E'</v>
      </c>
      <c r="C31" s="35">
        <v>220</v>
      </c>
      <c r="D31" s="35">
        <v>50</v>
      </c>
      <c r="E31" s="146">
        <f>ep_ail</f>
        <v>2</v>
      </c>
      <c r="F31" s="106" t="s">
        <v>55</v>
      </c>
      <c r="G31" s="103"/>
      <c r="H31" s="509">
        <f>(Cnai*XCpai+Cnc*XCpc+Cnj*XCpj+Cnr*XCpr+Cno*XCpo)/(Cnai+Cnc+Cnr+Cnj+Cno)</f>
        <v>2336.9300069503988</v>
      </c>
      <c r="I31" s="509">
        <f>(Cnail*XCpa+Cnc*XCpc+Cnj*XCpj+Cnr*XCpr+Cno*XCpo)/(Cnail+Cnc+Cnr+Cnj+Cno)</f>
        <v>2336.9300069503988</v>
      </c>
      <c r="J31" s="102"/>
      <c r="K31" s="32"/>
      <c r="Q31" s="29"/>
      <c r="R31" s="38"/>
      <c r="S31" s="388"/>
    </row>
    <row r="32" spans="1:20" ht="12.75" customHeight="1" x14ac:dyDescent="0.2">
      <c r="A32" s="25"/>
      <c r="B32" s="525" t="str">
        <f>IF(Lang="Français"," Epaisseur     'ep'",IF(Lang="English"," Thickness  'ep'",""))</f>
        <v xml:space="preserve"> Epaisseur     'ep'</v>
      </c>
      <c r="C32" s="35">
        <v>2</v>
      </c>
      <c r="D32" s="35">
        <v>2</v>
      </c>
      <c r="E32" s="146">
        <f>IF(Q_ail=Q_can,Q_ail,FALSE)</f>
        <v>4</v>
      </c>
      <c r="F32" s="106" t="s">
        <v>66</v>
      </c>
      <c r="G32" s="103"/>
      <c r="H32" s="100">
        <f ca="1">(XCp-XcgPlein)/Long_tot*100</f>
        <v>12.515926183348105</v>
      </c>
      <c r="I32" s="101">
        <f ca="1">(XCp-XcgVide)/Long_tot*100</f>
        <v>16.645655223144072</v>
      </c>
      <c r="J32" s="102"/>
      <c r="K32" s="32"/>
      <c r="Q32" s="29"/>
      <c r="R32" s="38"/>
    </row>
    <row r="33" spans="1:23" ht="12.75" customHeight="1" x14ac:dyDescent="0.2">
      <c r="A33" s="25"/>
      <c r="B33" s="524" t="str">
        <f>IF(Lang="Français"," Nombre            ",IF(Lang="English"," Number of fins",""))</f>
        <v xml:space="preserve"> Nombre            </v>
      </c>
      <c r="C33" s="36">
        <v>4</v>
      </c>
      <c r="D33" s="36">
        <v>4</v>
      </c>
      <c r="E33" s="146">
        <f>X_ail</f>
        <v>2700</v>
      </c>
      <c r="G33" s="24"/>
      <c r="H33" s="540" t="str">
        <f ca="1">IF(AND(CritCnmin&lt;Cn,Cn0&lt;CritCnmax,CritMsmin&lt;MS_min,MS_max&lt;CritMsmax,CritMsCnmin&lt;MS_Cn_min,MS_Cn_max&lt;CritMsCnmax),"STABLE",IF(OR(Cn&lt;CritCnmin,MS_min&lt;CritMsmin,MS_Cn_min&lt;CritMsCnmin),"INSTABLE",IF(Lang="Français","SURSTABLE","OVERSTABLE")))</f>
        <v>STABLE</v>
      </c>
      <c r="I33" s="541"/>
      <c r="J33" s="31"/>
      <c r="K33" s="32"/>
      <c r="Q33" s="29"/>
      <c r="R33" s="38"/>
    </row>
    <row r="34" spans="1:23" ht="12.75" customHeight="1" x14ac:dyDescent="0.2">
      <c r="A34" s="25"/>
      <c r="B34" s="524" t="str">
        <f>IF(Lang="Français"," Position du bas",IF(Lang="English"," Basement",""))</f>
        <v xml:space="preserve"> Position du bas</v>
      </c>
      <c r="C34" s="35">
        <f>Long_tot</f>
        <v>2700</v>
      </c>
      <c r="D34" s="35">
        <v>700</v>
      </c>
      <c r="E34" s="146">
        <f>D_ail</f>
        <v>150</v>
      </c>
      <c r="G34" s="24"/>
      <c r="H34" s="542"/>
      <c r="I34" s="543"/>
      <c r="K34" s="32"/>
      <c r="Q34" s="29"/>
      <c r="R34" s="38"/>
    </row>
    <row r="35" spans="1:23" ht="12.75" customHeight="1" x14ac:dyDescent="0.2">
      <c r="A35" s="25"/>
      <c r="B35" s="524" t="str">
        <f>IF(Lang="Français"," Diamètre         ",IF(Lang="English"," Diameter at Fins",""))</f>
        <v xml:space="preserve"> Diamètre         </v>
      </c>
      <c r="C35" s="35">
        <f>D_ref</f>
        <v>150</v>
      </c>
      <c r="D35" s="35">
        <f>D_ref</f>
        <v>150</v>
      </c>
      <c r="E35" s="146">
        <f>SQRT(POWER(p_int+n_int/2-m_int/2,2)+POWER(E_int,2))</f>
        <v>73.160993649181208</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321.90837205639747</v>
      </c>
      <c r="D36" s="145">
        <f>SQRT(POWER(p_can+n_can/2-m_can/2,2)+POWER(E_can,2))</f>
        <v>50.990195135927848</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268</v>
      </c>
      <c r="M37" s="392" t="str">
        <f>IF(ROUND(SUM(Propu!5:1228),0)=437735,"propu OK","propu NOK")</f>
        <v>propu OK</v>
      </c>
      <c r="N37" s="391" t="str">
        <f>IF(Lang="Français","fichier initial","Initial file")</f>
        <v>fichier initial</v>
      </c>
      <c r="O37" s="392"/>
      <c r="P37" s="390"/>
      <c r="Q37" s="291" t="s">
        <v>565</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396</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421</v>
      </c>
      <c r="H111" s="43"/>
      <c r="I111" s="44"/>
      <c r="J111" s="43"/>
      <c r="L111" s="43"/>
      <c r="M111" s="43"/>
      <c r="N111" s="43"/>
      <c r="Q111" s="43"/>
      <c r="R111" s="43"/>
    </row>
    <row r="112" spans="2:18" x14ac:dyDescent="0.2">
      <c r="B112" s="38" t="s">
        <v>422</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-700</v>
      </c>
      <c r="D124" s="46">
        <v>0</v>
      </c>
      <c r="E124" s="93">
        <f t="shared" ref="E124:E136" si="0">-D124</f>
        <v>0</v>
      </c>
      <c r="K124" s="46"/>
    </row>
    <row r="125" spans="2:18" x14ac:dyDescent="0.2">
      <c r="B125" s="45" t="s">
        <v>72</v>
      </c>
      <c r="C125" s="46">
        <f>-Long_ogive</f>
        <v>-700</v>
      </c>
      <c r="D125" s="46">
        <f>D_og/2</f>
        <v>75</v>
      </c>
      <c r="E125" s="93">
        <f t="shared" si="0"/>
        <v>-75</v>
      </c>
      <c r="K125" s="46"/>
    </row>
    <row r="126" spans="2:18" x14ac:dyDescent="0.2">
      <c r="B126" s="45" t="s">
        <v>73</v>
      </c>
      <c r="C126" s="46">
        <f>IF(AND(RIGHT(Nb_diam,1)=".",X_j), -X_j, C125 )</f>
        <v>-700</v>
      </c>
      <c r="D126" s="46">
        <f>IF(AND(RIGHT(Nb_diam,1)=".",X_j), D1j/2, D125 )</f>
        <v>75</v>
      </c>
      <c r="E126" s="93">
        <f t="shared" si="0"/>
        <v>-75</v>
      </c>
      <c r="K126" s="46"/>
    </row>
    <row r="127" spans="2:18" x14ac:dyDescent="0.2">
      <c r="B127" s="45" t="s">
        <v>74</v>
      </c>
      <c r="C127" s="46">
        <f>IF(AND(RIGHT(Nb_diam,1)=".",X_j), -X_j-l_j, C126 )</f>
        <v>-700</v>
      </c>
      <c r="D127" s="46">
        <f>IF(AND(RIGHT(Nb_diam,1)=".",X_j), D2j/2, D126 )</f>
        <v>75</v>
      </c>
      <c r="E127" s="93">
        <f t="shared" si="0"/>
        <v>-75</v>
      </c>
      <c r="K127" s="46"/>
    </row>
    <row r="128" spans="2:18" x14ac:dyDescent="0.2">
      <c r="B128" s="45" t="s">
        <v>75</v>
      </c>
      <c r="C128" s="46">
        <f>IF(AND(RIGHT(Nb_diam,1)=".",X_r), -X_r, C127 )</f>
        <v>-700</v>
      </c>
      <c r="D128" s="46">
        <f>IF(AND(RIGHT(Nb_diam,1)=".",X_r), D1r/2, D127 )</f>
        <v>75</v>
      </c>
      <c r="E128" s="93">
        <f t="shared" si="0"/>
        <v>-75</v>
      </c>
      <c r="K128" s="46"/>
    </row>
    <row r="129" spans="2:11" x14ac:dyDescent="0.2">
      <c r="B129" s="45" t="s">
        <v>76</v>
      </c>
      <c r="C129" s="46">
        <f>IF(AND(RIGHT(Nb_diam,1)=".",X_r), -X_r-l_r, C128 )</f>
        <v>-700</v>
      </c>
      <c r="D129" s="46">
        <f>IF(AND(RIGHT(Nb_diam,1)=".",X_r), D2r/2, D128 )</f>
        <v>75</v>
      </c>
      <c r="E129" s="93">
        <f t="shared" si="0"/>
        <v>-75</v>
      </c>
      <c r="K129" s="46"/>
    </row>
    <row r="130" spans="2:11" x14ac:dyDescent="0.2">
      <c r="B130" s="45" t="s">
        <v>77</v>
      </c>
      <c r="C130" s="46">
        <f>-Long_tot</f>
        <v>-2700</v>
      </c>
      <c r="D130" s="46">
        <f>D129</f>
        <v>75</v>
      </c>
      <c r="E130" s="93">
        <f t="shared" si="0"/>
        <v>-75</v>
      </c>
      <c r="K130" s="46"/>
    </row>
    <row r="131" spans="2:11" x14ac:dyDescent="0.2">
      <c r="B131" s="45" t="s">
        <v>77</v>
      </c>
      <c r="C131" s="46">
        <f>-Long_tot</f>
        <v>-2700</v>
      </c>
      <c r="D131" s="46">
        <v>0</v>
      </c>
      <c r="E131" s="93">
        <f t="shared" si="0"/>
        <v>0</v>
      </c>
      <c r="K131" s="46"/>
    </row>
    <row r="132" spans="2:11" x14ac:dyDescent="0.2">
      <c r="B132" s="183" t="s">
        <v>78</v>
      </c>
      <c r="C132" s="197">
        <f>-X_ail+m_ail</f>
        <v>-2340</v>
      </c>
      <c r="D132" s="197">
        <f>D_ail/2</f>
        <v>75</v>
      </c>
      <c r="E132" s="198">
        <f t="shared" si="0"/>
        <v>-75</v>
      </c>
      <c r="K132" s="46"/>
    </row>
    <row r="133" spans="2:11" x14ac:dyDescent="0.2">
      <c r="B133" s="185" t="s">
        <v>79</v>
      </c>
      <c r="C133" s="46">
        <f>-X_ail+m_ail-p_ail</f>
        <v>-2650</v>
      </c>
      <c r="D133" s="46">
        <f>D_ail/2+E_ail</f>
        <v>295</v>
      </c>
      <c r="E133" s="199">
        <f t="shared" si="0"/>
        <v>-295</v>
      </c>
      <c r="K133" s="46"/>
    </row>
    <row r="134" spans="2:11" x14ac:dyDescent="0.2">
      <c r="B134" s="185" t="s">
        <v>80</v>
      </c>
      <c r="C134" s="46">
        <f>-X_ail+m_ail-p_ail-n_ail</f>
        <v>-2860</v>
      </c>
      <c r="D134" s="46">
        <f>D_ail/2+E_ail</f>
        <v>295</v>
      </c>
      <c r="E134" s="199">
        <f t="shared" si="0"/>
        <v>-295</v>
      </c>
      <c r="K134" s="46"/>
    </row>
    <row r="135" spans="2:11" x14ac:dyDescent="0.2">
      <c r="B135" s="185" t="s">
        <v>81</v>
      </c>
      <c r="C135" s="46">
        <f>-X_ail</f>
        <v>-2700</v>
      </c>
      <c r="D135" s="46">
        <f>D_ail/2</f>
        <v>75</v>
      </c>
      <c r="E135" s="199">
        <f t="shared" si="0"/>
        <v>-75</v>
      </c>
      <c r="K135" s="46"/>
    </row>
    <row r="136" spans="2:11" x14ac:dyDescent="0.2">
      <c r="B136" s="187" t="s">
        <v>78</v>
      </c>
      <c r="C136" s="200">
        <f>-X_ail+m_ail</f>
        <v>-2340</v>
      </c>
      <c r="D136" s="200">
        <f>D_ail/2</f>
        <v>75</v>
      </c>
      <c r="E136" s="201">
        <f t="shared" si="0"/>
        <v>-75</v>
      </c>
      <c r="K136" s="46"/>
    </row>
    <row r="137" spans="2:11" x14ac:dyDescent="0.2">
      <c r="B137" s="192" t="str">
        <f>IF(E_ail&gt;0,IF(Lang="Français","Envergure","Span"),"")</f>
        <v>Envergure</v>
      </c>
      <c r="C137" s="197">
        <f>MIN(-X_ail,-X_ail+m_ail-p_ail-n_ail)-Long_tot/30</f>
        <v>-2950</v>
      </c>
      <c r="D137" s="207">
        <f>-D_ail/2-E_ail</f>
        <v>-295</v>
      </c>
      <c r="E137" s="93"/>
      <c r="K137" s="46"/>
    </row>
    <row r="138" spans="2:11" x14ac:dyDescent="0.2">
      <c r="B138" s="195" t="s">
        <v>166</v>
      </c>
      <c r="C138" s="46">
        <f>MIN(-X_ail,-X_ail+m_ail-p_ail-n_ail)-Long_tot/30</f>
        <v>-2950</v>
      </c>
      <c r="D138" s="208">
        <f>-D_ail/2-E_ail/2</f>
        <v>-185</v>
      </c>
      <c r="E138" s="93"/>
      <c r="K138" s="46"/>
    </row>
    <row r="139" spans="2:11" x14ac:dyDescent="0.2">
      <c r="B139" s="212" t="s">
        <v>162</v>
      </c>
      <c r="C139" s="200">
        <f>MIN(-X_ail,-X_ail+m_ail-p_ail-n_ail)-Long_tot/30</f>
        <v>-2950</v>
      </c>
      <c r="D139" s="209">
        <f>-D_ail/2</f>
        <v>-75</v>
      </c>
      <c r="E139" s="93"/>
      <c r="K139" s="46"/>
    </row>
    <row r="140" spans="2:11" x14ac:dyDescent="0.2">
      <c r="B140" s="192" t="str">
        <f>IF(Lang="Français","Emplanture","Root edge")</f>
        <v>Emplanture</v>
      </c>
      <c r="C140" s="197">
        <f>-X_ail+m_ail</f>
        <v>-2340</v>
      </c>
      <c r="D140" s="207">
        <f>D_ail/2+E_ail+Long_tot/20</f>
        <v>430</v>
      </c>
      <c r="E140" s="93"/>
      <c r="K140" s="46"/>
    </row>
    <row r="141" spans="2:11" x14ac:dyDescent="0.2">
      <c r="B141" s="195" t="s">
        <v>168</v>
      </c>
      <c r="C141" s="46">
        <f>-X_ail+m_ail/2</f>
        <v>-2520</v>
      </c>
      <c r="D141" s="208">
        <f>D_ail/2+E_ail+Long_tot/20</f>
        <v>430</v>
      </c>
      <c r="E141" s="93"/>
      <c r="K141" s="46"/>
    </row>
    <row r="142" spans="2:11" x14ac:dyDescent="0.2">
      <c r="B142" s="212" t="s">
        <v>169</v>
      </c>
      <c r="C142" s="200">
        <f>-X_ail</f>
        <v>-2700</v>
      </c>
      <c r="D142" s="209">
        <f>D_ail/2+E_ail+Long_tot/20</f>
        <v>430</v>
      </c>
      <c r="E142" s="93"/>
      <c r="K142" s="46"/>
    </row>
    <row r="143" spans="2:11" x14ac:dyDescent="0.2">
      <c r="B143" s="192" t="str">
        <f>IF(p_ail&lt;&gt;0,IF(Lang="Français","Flèche","Offset"),"")</f>
        <v>Flèche</v>
      </c>
      <c r="C143" s="197">
        <f>-X_ail+m_ail</f>
        <v>-2340</v>
      </c>
      <c r="D143" s="207">
        <f>-D_ail/2-E_ail-Long_tot/30</f>
        <v>-385</v>
      </c>
      <c r="E143" s="93"/>
      <c r="K143" s="46"/>
    </row>
    <row r="144" spans="2:11" x14ac:dyDescent="0.2">
      <c r="B144" s="195" t="s">
        <v>165</v>
      </c>
      <c r="C144" s="46">
        <f>-X_ail+m_ail-p_ail/2</f>
        <v>-2495</v>
      </c>
      <c r="D144" s="208">
        <f>-D_ail/2-E_ail-Long_tot/30</f>
        <v>-385</v>
      </c>
      <c r="E144" s="93"/>
      <c r="K144" s="46"/>
    </row>
    <row r="145" spans="2:11" x14ac:dyDescent="0.2">
      <c r="B145" s="212" t="s">
        <v>163</v>
      </c>
      <c r="C145" s="200">
        <f>-X_ail+m_ail-p_ail</f>
        <v>-2650</v>
      </c>
      <c r="D145" s="209">
        <f>-D_ail/2-E_ail-Long_tot/30</f>
        <v>-385</v>
      </c>
      <c r="E145" s="93"/>
      <c r="K145" s="46"/>
    </row>
    <row r="146" spans="2:11" x14ac:dyDescent="0.2">
      <c r="B146" s="192" t="str">
        <f>IF(n_ail&gt;0,IF(Lang="Français","Saumon","Tip edge"),"")</f>
        <v>Saumon</v>
      </c>
      <c r="C146" s="197">
        <f>-X_ail+m_ail-p_ail</f>
        <v>-2650</v>
      </c>
      <c r="D146" s="207">
        <f>-D_ail/2-E_ail-Long_tot/20</f>
        <v>-430</v>
      </c>
      <c r="E146" s="93"/>
      <c r="K146" s="46"/>
    </row>
    <row r="147" spans="2:11" x14ac:dyDescent="0.2">
      <c r="B147" s="195" t="s">
        <v>167</v>
      </c>
      <c r="C147" s="46">
        <f>-X_ail+m_ail-p_ail-n_ail/2</f>
        <v>-2755</v>
      </c>
      <c r="D147" s="208">
        <f>-D_ail/2-E_ail-Long_tot/20</f>
        <v>-430</v>
      </c>
      <c r="E147" s="93"/>
      <c r="K147" s="46"/>
    </row>
    <row r="148" spans="2:11" x14ac:dyDescent="0.2">
      <c r="B148" s="212" t="s">
        <v>164</v>
      </c>
      <c r="C148" s="200">
        <f>-X_ail+m_ail-p_ail-n_ail</f>
        <v>-2860</v>
      </c>
      <c r="D148" s="209">
        <f>-D_ail/2-E_ail-Long_tot/20</f>
        <v>-430</v>
      </c>
      <c r="E148" s="93"/>
      <c r="K148" s="46"/>
    </row>
    <row r="149" spans="2:11" x14ac:dyDescent="0.2">
      <c r="B149" s="183" t="s">
        <v>82</v>
      </c>
      <c r="C149" s="197">
        <f ca="1">-XcgPlein</f>
        <v>-1999</v>
      </c>
      <c r="D149" s="207">
        <v>0</v>
      </c>
      <c r="E149" s="93"/>
      <c r="K149" s="46"/>
    </row>
    <row r="150" spans="2:11" x14ac:dyDescent="0.2">
      <c r="B150" s="187" t="s">
        <v>83</v>
      </c>
      <c r="C150" s="200">
        <f ca="1">-XcgVide</f>
        <v>-1887.4973159255089</v>
      </c>
      <c r="D150" s="209">
        <v>0</v>
      </c>
      <c r="E150" s="93"/>
      <c r="K150" s="46"/>
    </row>
    <row r="151" spans="2:11" x14ac:dyDescent="0.2">
      <c r="B151" s="183" t="s">
        <v>84</v>
      </c>
      <c r="C151" s="197">
        <f>-XCp</f>
        <v>-2336.9300069503988</v>
      </c>
      <c r="D151" s="207">
        <v>0</v>
      </c>
      <c r="E151" s="93"/>
      <c r="K151" s="46"/>
    </row>
    <row r="152" spans="2:11" x14ac:dyDescent="0.2">
      <c r="B152" s="187" t="s">
        <v>84</v>
      </c>
      <c r="C152" s="200">
        <f>-XCp</f>
        <v>-2336.9300069503988</v>
      </c>
      <c r="D152" s="209">
        <f>Cn*D_ref/CritCnmin</f>
        <v>192.0824856273359</v>
      </c>
      <c r="E152" s="93"/>
      <c r="K152" s="46"/>
    </row>
    <row r="153" spans="2:11" x14ac:dyDescent="0.2">
      <c r="B153" s="185" t="s">
        <v>420</v>
      </c>
      <c r="C153" s="46">
        <f>-XCp0</f>
        <v>-2336.9300069503988</v>
      </c>
      <c r="D153" s="208">
        <f>Cn0*D_ref/CritCnmin</f>
        <v>192.0824856273359</v>
      </c>
      <c r="E153" s="93"/>
      <c r="K153" s="46"/>
    </row>
    <row r="154" spans="2:11" x14ac:dyDescent="0.2">
      <c r="B154" s="185" t="s">
        <v>420</v>
      </c>
      <c r="C154" s="46">
        <f>-XCp0</f>
        <v>-2336.9300069503988</v>
      </c>
      <c r="D154" s="208">
        <v>0</v>
      </c>
      <c r="E154" s="93"/>
      <c r="K154" s="46"/>
    </row>
    <row r="155" spans="2:11" x14ac:dyDescent="0.2">
      <c r="B155" s="192" t="str">
        <f>IF(n_ail&gt;0,IF(Lang="Français","Marge Statique","Static Margin"),"")</f>
        <v>Marge Statique</v>
      </c>
      <c r="C155" s="197">
        <f ca="1">(-XcgPlein-XcgVide)/2</f>
        <v>-1943.2486579627544</v>
      </c>
      <c r="D155" s="207">
        <f>-D_ail/2-E_ail-Long_tot/20</f>
        <v>-430</v>
      </c>
      <c r="E155" s="93"/>
      <c r="K155" s="46"/>
    </row>
    <row r="156" spans="2:11" x14ac:dyDescent="0.2">
      <c r="B156" s="195" t="s">
        <v>170</v>
      </c>
      <c r="C156" s="46">
        <f ca="1">(C155+C157)/2</f>
        <v>-2140.0893324565768</v>
      </c>
      <c r="D156" s="208">
        <f>-D_ail/2-E_ail-Long_tot/20</f>
        <v>-430</v>
      </c>
      <c r="E156" s="93"/>
      <c r="K156" s="46"/>
    </row>
    <row r="157" spans="2:11" x14ac:dyDescent="0.2">
      <c r="B157" s="212" t="s">
        <v>171</v>
      </c>
      <c r="C157" s="200">
        <f>-XCp</f>
        <v>-2336.9300069503988</v>
      </c>
      <c r="D157" s="209">
        <f>-D_ail/2-E_ail-Long_tot/20</f>
        <v>-430</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-2888.6</v>
      </c>
      <c r="D168" s="46">
        <f>MAX(E_ail+D_ail/2, Long_tot/3)</f>
        <v>900</v>
      </c>
      <c r="E168" s="93"/>
      <c r="K168" s="46"/>
    </row>
    <row r="169" spans="2:11" x14ac:dyDescent="0.2">
      <c r="B169" s="45" t="s">
        <v>93</v>
      </c>
      <c r="C169" s="46">
        <f>C168</f>
        <v>-2888.6</v>
      </c>
      <c r="D169" s="46">
        <f>-D168</f>
        <v>-900</v>
      </c>
      <c r="E169" s="93"/>
      <c r="K169" s="46"/>
    </row>
    <row r="170" spans="2:11" x14ac:dyDescent="0.2">
      <c r="B170" s="183" t="s">
        <v>94</v>
      </c>
      <c r="C170" s="197">
        <f ca="1">-XpropuRef+Long_propu</f>
        <v>-1690</v>
      </c>
      <c r="D170" s="207">
        <f ca="1">-Diam_propu/2</f>
        <v>-49</v>
      </c>
      <c r="E170" s="93"/>
      <c r="K170" s="46"/>
    </row>
    <row r="171" spans="2:11" x14ac:dyDescent="0.2">
      <c r="B171" s="185" t="s">
        <v>95</v>
      </c>
      <c r="C171" s="46">
        <f ca="1">-XpropuRef+Long_propu</f>
        <v>-1690</v>
      </c>
      <c r="D171" s="208">
        <f ca="1">Diam_propu/2</f>
        <v>49</v>
      </c>
      <c r="E171" s="93"/>
      <c r="K171" s="46"/>
    </row>
    <row r="172" spans="2:11" x14ac:dyDescent="0.2">
      <c r="B172" s="185" t="s">
        <v>96</v>
      </c>
      <c r="C172" s="46">
        <f>-XpropuRef</f>
        <v>-2700</v>
      </c>
      <c r="D172" s="208">
        <f ca="1">Diam_propu/2</f>
        <v>49</v>
      </c>
      <c r="E172" s="93"/>
      <c r="K172" s="46"/>
    </row>
    <row r="173" spans="2:11" x14ac:dyDescent="0.2">
      <c r="B173" s="185" t="s">
        <v>97</v>
      </c>
      <c r="C173" s="46">
        <f>-XpropuRef</f>
        <v>-2700</v>
      </c>
      <c r="D173" s="208">
        <f ca="1">-Diam_propu/2</f>
        <v>-49</v>
      </c>
      <c r="E173" s="93"/>
      <c r="K173" s="46"/>
    </row>
    <row r="174" spans="2:11" x14ac:dyDescent="0.2">
      <c r="B174" s="187" t="s">
        <v>98</v>
      </c>
      <c r="C174" s="200">
        <f ca="1">-XpropuRef+Long_propu</f>
        <v>-1690</v>
      </c>
      <c r="D174" s="209">
        <f ca="1">-Diam_propu/2</f>
        <v>-49</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-70</v>
      </c>
      <c r="D176" s="46">
        <f>IF(LEFT(Forme_ogive,5)="Parab",H176,IF(LEFT(Forme_ogive,4)="Ogiv",G176,IF(LEFT(Forme_ogive,3)="Con",F176)))</f>
        <v>7.5</v>
      </c>
      <c r="E176" s="199">
        <f t="shared" si="2"/>
        <v>-7.5</v>
      </c>
      <c r="F176" s="185">
        <f>D_og/2*0.1</f>
        <v>7.5</v>
      </c>
      <c r="G176" s="45">
        <f>D_og/2*0.2</f>
        <v>15</v>
      </c>
      <c r="H176" s="189">
        <f>D_og/2*0.5</f>
        <v>37.5</v>
      </c>
      <c r="K176" s="46"/>
    </row>
    <row r="177" spans="2:11" x14ac:dyDescent="0.2">
      <c r="B177" s="185" t="s">
        <v>72</v>
      </c>
      <c r="C177" s="46">
        <f>-Long_ogive/4</f>
        <v>-175</v>
      </c>
      <c r="D177" s="46">
        <f>IF(LEFT(Forme_ogive,5)="Parab",H177,IF(LEFT(Forme_ogive,4)="Ogiv",G177,IF(LEFT(Forme_ogive,3)="Con",F177)))</f>
        <v>18.75</v>
      </c>
      <c r="E177" s="199">
        <f t="shared" si="2"/>
        <v>-18.75</v>
      </c>
      <c r="F177" s="185">
        <f>D_og/2*1/4</f>
        <v>18.75</v>
      </c>
      <c r="G177" s="45">
        <f>D_og/2/2</f>
        <v>37.5</v>
      </c>
      <c r="H177" s="189">
        <f>D_og/2*0.7</f>
        <v>52.5</v>
      </c>
      <c r="K177" s="46"/>
    </row>
    <row r="178" spans="2:11" x14ac:dyDescent="0.2">
      <c r="B178" s="185" t="s">
        <v>72</v>
      </c>
      <c r="C178" s="46">
        <f>-Long_ogive/2</f>
        <v>-350</v>
      </c>
      <c r="D178" s="46">
        <f>IF(LEFT(Forme_ogive,5)="Parab",H178,IF(LEFT(Forme_ogive,4)="Ogiv",G178,IF(LEFT(Forme_ogive,3)="Con",F178)))</f>
        <v>37.5</v>
      </c>
      <c r="E178" s="199">
        <f t="shared" si="2"/>
        <v>-37.5</v>
      </c>
      <c r="F178" s="185">
        <f>D_og/2/2</f>
        <v>37.5</v>
      </c>
      <c r="G178" s="45">
        <f>D_og/2*3/4</f>
        <v>56.25</v>
      </c>
      <c r="H178" s="189">
        <f>D_og/2*0.88</f>
        <v>66</v>
      </c>
      <c r="K178" s="46"/>
    </row>
    <row r="179" spans="2:11" x14ac:dyDescent="0.2">
      <c r="B179" s="185" t="s">
        <v>72</v>
      </c>
      <c r="C179" s="46">
        <f>-Long_ogive*3/4</f>
        <v>-525</v>
      </c>
      <c r="D179" s="46">
        <f>IF(LEFT(Forme_ogive,5)="Parab",H179,IF(LEFT(Forme_ogive,4)="Ogiv",G179,IF(LEFT(Forme_ogive,3)="Con",F179)))</f>
        <v>56.25</v>
      </c>
      <c r="E179" s="199">
        <f t="shared" si="2"/>
        <v>-56.25</v>
      </c>
      <c r="F179" s="185">
        <f>D_og/2*3/4</f>
        <v>56.25</v>
      </c>
      <c r="G179" s="45">
        <f>D_og/2*0.9</f>
        <v>67.5</v>
      </c>
      <c r="H179" s="189">
        <f>D_og/2*0.95</f>
        <v>71.25</v>
      </c>
      <c r="K179" s="46"/>
    </row>
    <row r="180" spans="2:11" x14ac:dyDescent="0.2">
      <c r="B180" s="187" t="s">
        <v>72</v>
      </c>
      <c r="C180" s="200">
        <f>-Long_ogive</f>
        <v>-700</v>
      </c>
      <c r="D180" s="200">
        <f>D_og/2</f>
        <v>75</v>
      </c>
      <c r="E180" s="201">
        <f t="shared" si="2"/>
        <v>-75</v>
      </c>
      <c r="F180" s="187">
        <f>D_og/2</f>
        <v>75</v>
      </c>
      <c r="G180" s="196">
        <f>D_og/2</f>
        <v>75</v>
      </c>
      <c r="H180" s="190">
        <f>D_og/2</f>
        <v>75</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2.2528667130026587</v>
      </c>
      <c r="C190" s="203">
        <f>Cn</f>
        <v>19.208248562733591</v>
      </c>
      <c r="D190" s="185">
        <v>3</v>
      </c>
      <c r="E190" s="205">
        <f t="shared" si="4"/>
        <v>33.333333333333336</v>
      </c>
      <c r="K190" s="45"/>
    </row>
    <row r="191" spans="2:11" x14ac:dyDescent="0.2">
      <c r="B191" s="512">
        <f ca="1">(XCp0-XcgPlein)/D_ref</f>
        <v>2.2528667130026587</v>
      </c>
      <c r="C191" s="513">
        <f>Cn0</f>
        <v>19.208248562733591</v>
      </c>
      <c r="D191" s="185">
        <v>4</v>
      </c>
      <c r="E191" s="205">
        <f t="shared" si="4"/>
        <v>25</v>
      </c>
      <c r="K191" s="45"/>
    </row>
    <row r="192" spans="2:11" x14ac:dyDescent="0.2">
      <c r="B192" s="512">
        <f ca="1">(XCp0-XcgVide)/D_ref</f>
        <v>2.9962179401659328</v>
      </c>
      <c r="C192" s="513">
        <f>Cn0</f>
        <v>19.208248562733591</v>
      </c>
      <c r="D192" s="185">
        <v>6</v>
      </c>
      <c r="E192" s="205">
        <f t="shared" si="4"/>
        <v>16.666666666666668</v>
      </c>
      <c r="K192" s="45"/>
    </row>
    <row r="193" spans="2:11" x14ac:dyDescent="0.2">
      <c r="B193" s="512">
        <f ca="1">(XCp-XcgVide)/D_ref</f>
        <v>2.9962179401659328</v>
      </c>
      <c r="C193" s="513">
        <f>Cn</f>
        <v>19.208248562733591</v>
      </c>
      <c r="D193" s="187">
        <v>7</v>
      </c>
      <c r="E193" s="206">
        <f t="shared" si="4"/>
        <v>14.285714285714286</v>
      </c>
      <c r="K193" s="45"/>
    </row>
    <row r="194" spans="2:11" x14ac:dyDescent="0.2">
      <c r="B194" s="512">
        <f ca="1">MS_min</f>
        <v>2.2528667130026587</v>
      </c>
      <c r="C194" s="514">
        <f>Cn</f>
        <v>19.208248562733591</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403</v>
      </c>
      <c r="C204" s="31" t="b">
        <f ca="1">(OR(C205:C210))</f>
        <v>1</v>
      </c>
      <c r="D204" s="474"/>
    </row>
    <row r="205" spans="2:11" x14ac:dyDescent="0.2">
      <c r="B205" s="475" t="s">
        <v>400</v>
      </c>
      <c r="C205" s="474" t="b">
        <f ca="1">AND(Type_propu="H2O",RIGHT(Type_fusee,1)=" ")</f>
        <v>0</v>
      </c>
      <c r="D205" s="474"/>
    </row>
    <row r="206" spans="2:11" x14ac:dyDescent="0.2">
      <c r="B206" s="475" t="s">
        <v>118</v>
      </c>
      <c r="C206" s="474" t="b">
        <f ca="1">AND(Type_propu="Fusex",RIGHT(Type_fusee,1)=".")</f>
        <v>1</v>
      </c>
      <c r="D206" s="474"/>
    </row>
    <row r="207" spans="2:11" x14ac:dyDescent="0.2">
      <c r="B207" s="475" t="s">
        <v>401</v>
      </c>
      <c r="C207" s="474" t="b">
        <f ca="1">LEFT(Type_propu,5)=LEFT(Type_fusee,5)</f>
        <v>0</v>
      </c>
      <c r="D207" s="474"/>
    </row>
    <row r="208" spans="2:11" x14ac:dyDescent="0.2">
      <c r="B208" s="475" t="s">
        <v>402</v>
      </c>
      <c r="C208" s="474" t="b">
        <f ca="1">AND(RIGHT(Type_propu,1)="N",LEFT(Type_fusee,4)="Mini")</f>
        <v>0</v>
      </c>
      <c r="D208" s="474"/>
    </row>
    <row r="209" spans="1:3" x14ac:dyDescent="0.2">
      <c r="B209" s="475" t="s">
        <v>404</v>
      </c>
      <c r="C209" s="474" t="b">
        <f ca="1">AND(LEFT(Type_propu,5)="MiniR",LEFT(Type_fusee,1)="R")</f>
        <v>0</v>
      </c>
    </row>
    <row r="210" spans="1:3" x14ac:dyDescent="0.2">
      <c r="B210" s="475" t="s">
        <v>394</v>
      </c>
      <c r="C210" s="474" t="b">
        <f ca="1">AND(LEFT(Type_propu,4)="Mini",LEFT(Type_fusee,1)=",")</f>
        <v>0</v>
      </c>
    </row>
    <row r="223" spans="1:3" x14ac:dyDescent="0.2">
      <c r="A223" s="24" t="s">
        <v>460</v>
      </c>
    </row>
    <row r="226" spans="1:1" x14ac:dyDescent="0.2">
      <c r="A226" s="24" t="s">
        <v>473</v>
      </c>
    </row>
    <row r="228" spans="1:1" x14ac:dyDescent="0.2">
      <c r="A228" s="24" t="s">
        <v>474</v>
      </c>
    </row>
    <row r="230" spans="1:1" x14ac:dyDescent="0.2">
      <c r="A230" s="24" t="s">
        <v>475</v>
      </c>
    </row>
    <row r="232" spans="1:1" x14ac:dyDescent="0.2">
      <c r="A232" s="24" t="s">
        <v>476</v>
      </c>
    </row>
    <row r="233" spans="1:1" x14ac:dyDescent="0.2">
      <c r="A233" s="24" t="s">
        <v>477</v>
      </c>
    </row>
    <row r="234" spans="1:1" x14ac:dyDescent="0.2">
      <c r="A234" s="24" t="s">
        <v>478</v>
      </c>
    </row>
    <row r="235" spans="1:1" x14ac:dyDescent="0.2">
      <c r="A235" s="24" t="s">
        <v>479</v>
      </c>
    </row>
    <row r="236" spans="1:1" x14ac:dyDescent="0.2">
      <c r="A236" s="24" t="s">
        <v>480</v>
      </c>
    </row>
    <row r="237" spans="1:1" x14ac:dyDescent="0.2">
      <c r="A237" s="24" t="s">
        <v>481</v>
      </c>
    </row>
    <row r="238" spans="1:1" x14ac:dyDescent="0.2">
      <c r="A238" s="24" t="s">
        <v>183</v>
      </c>
    </row>
    <row r="239" spans="1:1" x14ac:dyDescent="0.2">
      <c r="A239" s="24" t="s">
        <v>482</v>
      </c>
    </row>
    <row r="240" spans="1:1" x14ac:dyDescent="0.2">
      <c r="A240" s="24" t="s">
        <v>483</v>
      </c>
    </row>
    <row r="241" spans="1:1" x14ac:dyDescent="0.2">
      <c r="A241" s="24" t="s">
        <v>183</v>
      </c>
    </row>
    <row r="242" spans="1:1" x14ac:dyDescent="0.2">
      <c r="A242" s="24" t="s">
        <v>484</v>
      </c>
    </row>
    <row r="244" spans="1:1" x14ac:dyDescent="0.2">
      <c r="A244" s="24" t="s">
        <v>485</v>
      </c>
    </row>
    <row r="246" spans="1:1" x14ac:dyDescent="0.2">
      <c r="A246" s="24" t="s">
        <v>486</v>
      </c>
    </row>
    <row r="248" spans="1:1" x14ac:dyDescent="0.2">
      <c r="A248" s="24" t="s">
        <v>487</v>
      </c>
    </row>
    <row r="249" spans="1:1" x14ac:dyDescent="0.2">
      <c r="A249" s="24" t="s">
        <v>488</v>
      </c>
    </row>
    <row r="250" spans="1:1" x14ac:dyDescent="0.2">
      <c r="A250" s="24" t="s">
        <v>489</v>
      </c>
    </row>
    <row r="251" spans="1:1" x14ac:dyDescent="0.2">
      <c r="A251" s="24" t="s">
        <v>490</v>
      </c>
    </row>
    <row r="252" spans="1:1" x14ac:dyDescent="0.2">
      <c r="A252" s="24" t="s">
        <v>491</v>
      </c>
    </row>
    <row r="254" spans="1:1" x14ac:dyDescent="0.2">
      <c r="A254" s="24" t="s">
        <v>492</v>
      </c>
    </row>
    <row r="255" spans="1:1" x14ac:dyDescent="0.2">
      <c r="A255" s="24" t="s">
        <v>493</v>
      </c>
    </row>
    <row r="256" spans="1:1" x14ac:dyDescent="0.2">
      <c r="A256" s="24" t="s">
        <v>494</v>
      </c>
    </row>
    <row r="257" spans="1:1" x14ac:dyDescent="0.2">
      <c r="A257" s="24" t="s">
        <v>495</v>
      </c>
    </row>
    <row r="258" spans="1:1" x14ac:dyDescent="0.2">
      <c r="A258" s="24" t="s">
        <v>496</v>
      </c>
    </row>
    <row r="261" spans="1:1" x14ac:dyDescent="0.2">
      <c r="A261" s="24" t="s">
        <v>497</v>
      </c>
    </row>
    <row r="262" spans="1:1" x14ac:dyDescent="0.2">
      <c r="A262" s="24" t="s">
        <v>498</v>
      </c>
    </row>
    <row r="263" spans="1:1" x14ac:dyDescent="0.2">
      <c r="A263" s="24" t="s">
        <v>499</v>
      </c>
    </row>
    <row r="264" spans="1:1" x14ac:dyDescent="0.2">
      <c r="A264" s="24" t="s">
        <v>500</v>
      </c>
    </row>
    <row r="265" spans="1:1" x14ac:dyDescent="0.2">
      <c r="A265" s="24" t="s">
        <v>501</v>
      </c>
    </row>
    <row r="267" spans="1:1" x14ac:dyDescent="0.2">
      <c r="A267" s="24" t="s">
        <v>494</v>
      </c>
    </row>
    <row r="268" spans="1:1" x14ac:dyDescent="0.2">
      <c r="A268" s="24" t="s">
        <v>495</v>
      </c>
    </row>
    <row r="269" spans="1:1" x14ac:dyDescent="0.2">
      <c r="A269" s="24" t="s">
        <v>502</v>
      </c>
    </row>
    <row r="272" spans="1:1" x14ac:dyDescent="0.2">
      <c r="A272" s="24" t="s">
        <v>462</v>
      </c>
    </row>
    <row r="273" spans="1:1" x14ac:dyDescent="0.2">
      <c r="A273" s="24" t="s">
        <v>463</v>
      </c>
    </row>
    <row r="275" spans="1:1" x14ac:dyDescent="0.2">
      <c r="A275" s="24" t="s">
        <v>503</v>
      </c>
    </row>
    <row r="277" spans="1:1" x14ac:dyDescent="0.2">
      <c r="A277" s="24" t="s">
        <v>502</v>
      </c>
    </row>
    <row r="280" spans="1:1" x14ac:dyDescent="0.2">
      <c r="A280" s="24" t="s">
        <v>464</v>
      </c>
    </row>
    <row r="281" spans="1:1" x14ac:dyDescent="0.2">
      <c r="A281" s="24" t="s">
        <v>465</v>
      </c>
    </row>
    <row r="282" spans="1:1" x14ac:dyDescent="0.2">
      <c r="A282" s="24" t="s">
        <v>504</v>
      </c>
    </row>
    <row r="283" spans="1:1" x14ac:dyDescent="0.2">
      <c r="A283" s="24" t="s">
        <v>505</v>
      </c>
    </row>
    <row r="284" spans="1:1" x14ac:dyDescent="0.2">
      <c r="A284" s="24" t="s">
        <v>502</v>
      </c>
    </row>
    <row r="285" spans="1:1" x14ac:dyDescent="0.2">
      <c r="A285" s="24" t="s">
        <v>466</v>
      </c>
    </row>
    <row r="287" spans="1:1" x14ac:dyDescent="0.2">
      <c r="A287" s="24" t="s">
        <v>506</v>
      </c>
    </row>
    <row r="288" spans="1:1" x14ac:dyDescent="0.2">
      <c r="A288" s="24" t="s">
        <v>504</v>
      </c>
    </row>
    <row r="289" spans="1:1" x14ac:dyDescent="0.2">
      <c r="A289" s="24" t="s">
        <v>507</v>
      </c>
    </row>
    <row r="291" spans="1:1" x14ac:dyDescent="0.2">
      <c r="A291" s="24" t="s">
        <v>502</v>
      </c>
    </row>
    <row r="294" spans="1:1" x14ac:dyDescent="0.2">
      <c r="A294" s="24" t="s">
        <v>508</v>
      </c>
    </row>
    <row r="295" spans="1:1" x14ac:dyDescent="0.2">
      <c r="A295" s="24" t="s">
        <v>509</v>
      </c>
    </row>
    <row r="296" spans="1:1" x14ac:dyDescent="0.2">
      <c r="A296" s="24" t="s">
        <v>510</v>
      </c>
    </row>
    <row r="298" spans="1:1" x14ac:dyDescent="0.2">
      <c r="A298" s="24" t="s">
        <v>502</v>
      </c>
    </row>
    <row r="301" spans="1:1" x14ac:dyDescent="0.2">
      <c r="A301" s="24" t="s">
        <v>511</v>
      </c>
    </row>
    <row r="302" spans="1:1" x14ac:dyDescent="0.2">
      <c r="A302" s="24" t="s">
        <v>512</v>
      </c>
    </row>
    <row r="304" spans="1:1" x14ac:dyDescent="0.2">
      <c r="A304" s="24" t="s">
        <v>513</v>
      </c>
    </row>
    <row r="305" spans="1:1" x14ac:dyDescent="0.2">
      <c r="A305" s="24" t="s">
        <v>514</v>
      </c>
    </row>
    <row r="306" spans="1:1" x14ac:dyDescent="0.2">
      <c r="A306" s="24" t="s">
        <v>502</v>
      </c>
    </row>
    <row r="309" spans="1:1" x14ac:dyDescent="0.2">
      <c r="A309" s="24" t="s">
        <v>511</v>
      </c>
    </row>
    <row r="310" spans="1:1" x14ac:dyDescent="0.2">
      <c r="A310" s="24" t="s">
        <v>515</v>
      </c>
    </row>
    <row r="311" spans="1:1" x14ac:dyDescent="0.2">
      <c r="A311" s="24" t="s">
        <v>511</v>
      </c>
    </row>
    <row r="312" spans="1:1" x14ac:dyDescent="0.2">
      <c r="A312" s="24" t="s">
        <v>516</v>
      </c>
    </row>
    <row r="314" spans="1:1" x14ac:dyDescent="0.2">
      <c r="A314" s="24" t="s">
        <v>517</v>
      </c>
    </row>
    <row r="316" spans="1:1" x14ac:dyDescent="0.2">
      <c r="A316" s="24" t="s">
        <v>502</v>
      </c>
    </row>
    <row r="319" spans="1:1" x14ac:dyDescent="0.2">
      <c r="A319" s="24" t="s">
        <v>511</v>
      </c>
    </row>
    <row r="320" spans="1:1" x14ac:dyDescent="0.2">
      <c r="A320" s="24" t="s">
        <v>518</v>
      </c>
    </row>
    <row r="321" spans="1:1" x14ac:dyDescent="0.2">
      <c r="A321" s="24" t="s">
        <v>519</v>
      </c>
    </row>
    <row r="322" spans="1:1" x14ac:dyDescent="0.2">
      <c r="A322" s="24" t="s">
        <v>520</v>
      </c>
    </row>
    <row r="324" spans="1:1" x14ac:dyDescent="0.2">
      <c r="A324" s="24" t="s">
        <v>502</v>
      </c>
    </row>
    <row r="326" spans="1:1" x14ac:dyDescent="0.2">
      <c r="A326" s="24" t="s">
        <v>461</v>
      </c>
    </row>
    <row r="329" spans="1:1" x14ac:dyDescent="0.2">
      <c r="A329" s="24" t="s">
        <v>467</v>
      </c>
    </row>
    <row r="330" spans="1:1" x14ac:dyDescent="0.2">
      <c r="A330" s="24" t="s">
        <v>468</v>
      </c>
    </row>
    <row r="331" spans="1:1" x14ac:dyDescent="0.2">
      <c r="A331" s="24" t="s">
        <v>521</v>
      </c>
    </row>
    <row r="332" spans="1:1" x14ac:dyDescent="0.2">
      <c r="A332" s="24" t="s">
        <v>522</v>
      </c>
    </row>
    <row r="333" spans="1:1" x14ac:dyDescent="0.2">
      <c r="A333" s="24" t="s">
        <v>523</v>
      </c>
    </row>
    <row r="334" spans="1:1" x14ac:dyDescent="0.2">
      <c r="A334" s="24" t="s">
        <v>524</v>
      </c>
    </row>
    <row r="335" spans="1:1" x14ac:dyDescent="0.2">
      <c r="A335" s="24" t="s">
        <v>525</v>
      </c>
    </row>
    <row r="336" spans="1:1" x14ac:dyDescent="0.2">
      <c r="A336" s="24" t="s">
        <v>478</v>
      </c>
    </row>
    <row r="337" spans="1:1" x14ac:dyDescent="0.2">
      <c r="A337" s="24" t="s">
        <v>469</v>
      </c>
    </row>
    <row r="340" spans="1:1" x14ac:dyDescent="0.2">
      <c r="A340" s="24" t="s">
        <v>470</v>
      </c>
    </row>
    <row r="342" spans="1:1" x14ac:dyDescent="0.2">
      <c r="A342" s="24" t="s">
        <v>526</v>
      </c>
    </row>
    <row r="343" spans="1:1" x14ac:dyDescent="0.2">
      <c r="A343" s="24" t="s">
        <v>527</v>
      </c>
    </row>
    <row r="344" spans="1:1" x14ac:dyDescent="0.2">
      <c r="A344" s="24" t="s">
        <v>528</v>
      </c>
    </row>
    <row r="345" spans="1:1" x14ac:dyDescent="0.2">
      <c r="A345" s="24" t="s">
        <v>529</v>
      </c>
    </row>
    <row r="346" spans="1:1" x14ac:dyDescent="0.2">
      <c r="A346" s="24" t="s">
        <v>530</v>
      </c>
    </row>
    <row r="347" spans="1:1" x14ac:dyDescent="0.2">
      <c r="A347" s="24" t="s">
        <v>478</v>
      </c>
    </row>
    <row r="348" spans="1:1" x14ac:dyDescent="0.2">
      <c r="A348" s="24" t="s">
        <v>471</v>
      </c>
    </row>
    <row r="349" spans="1:1" x14ac:dyDescent="0.2">
      <c r="A349" s="24" t="s">
        <v>531</v>
      </c>
    </row>
    <row r="350" spans="1:1" x14ac:dyDescent="0.2">
      <c r="A350" s="24" t="s">
        <v>532</v>
      </c>
    </row>
    <row r="352" spans="1:1" x14ac:dyDescent="0.2">
      <c r="A352" s="24" t="s">
        <v>502</v>
      </c>
    </row>
    <row r="355" spans="1:1" x14ac:dyDescent="0.2">
      <c r="A355" s="24" t="s">
        <v>461</v>
      </c>
    </row>
    <row r="361" spans="1:1" x14ac:dyDescent="0.2">
      <c r="A361" s="24" t="s">
        <v>472</v>
      </c>
    </row>
  </sheetData>
  <sheetProtection algorithmName="SHA-512" hashValue="lr7AUTmqQKWCln9lxU/pkY39SNhSvguOSf0niYW80GvK2cC/MbUIRDjvwd1bIGz8aqjd6a7y3D66efnX6zcc6g==" saltValue="kioZ43ZFarxjOdpvjH0yzw==" spinCount="100000" sheet="1" objects="1" scenarios="1"/>
  <dataConsolidate/>
  <mergeCells count="56">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27:D27"/>
    <mergeCell ref="C19:D19"/>
    <mergeCell ref="C20:D20"/>
    <mergeCell ref="O23:P23"/>
    <mergeCell ref="O24:P24"/>
    <mergeCell ref="C23:D23"/>
    <mergeCell ref="C22:D22"/>
    <mergeCell ref="C24:D24"/>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C35: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119" zoomScaleNormal="100" workbookViewId="0">
      <selection activeCell="I27" sqref="I27"/>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98" t="s">
        <v>0</v>
      </c>
      <c r="D2" s="598"/>
      <c r="F2" s="3"/>
      <c r="J2" s="4"/>
      <c r="N2" s="57"/>
    </row>
    <row r="3" spans="1:14" ht="12.75" customHeight="1" x14ac:dyDescent="0.2">
      <c r="A3" s="56"/>
      <c r="B3" s="2"/>
      <c r="C3" s="598"/>
      <c r="D3" s="598"/>
      <c r="H3" s="5"/>
      <c r="J3" s="4"/>
      <c r="N3" s="57"/>
    </row>
    <row r="4" spans="1:14" ht="12.75" customHeight="1" x14ac:dyDescent="0.2">
      <c r="A4" s="56"/>
      <c r="B4" s="2"/>
      <c r="C4" s="603" t="str">
        <f>IF(Lang="Français","Trajectographie de fusée",IF(Lang="English","Rocket Trajectography",""))</f>
        <v>Trajectographie de fusée</v>
      </c>
      <c r="D4" s="603"/>
      <c r="H4" s="5"/>
      <c r="J4" s="4"/>
      <c r="N4" s="57"/>
    </row>
    <row r="5" spans="1:14" ht="12.75" customHeight="1" x14ac:dyDescent="0.2">
      <c r="A5" s="56"/>
      <c r="B5" s="2"/>
      <c r="C5" s="597"/>
      <c r="D5" s="597"/>
      <c r="J5" s="4"/>
      <c r="N5" s="57"/>
    </row>
    <row r="6" spans="1:14" ht="12.95" customHeight="1" x14ac:dyDescent="0.2">
      <c r="A6" s="56"/>
      <c r="B6" s="87"/>
      <c r="C6" s="602" t="str">
        <f>IF(Lang="Français","Remplir les cases jaunes",IF(Lang="English","Fill-in yellow cells only",""))</f>
        <v>Remplir les cases jaunes</v>
      </c>
      <c r="D6" s="602"/>
      <c r="J6" s="4"/>
      <c r="N6" s="57"/>
    </row>
    <row r="7" spans="1:14" x14ac:dyDescent="0.2">
      <c r="A7" s="56"/>
      <c r="B7" s="6"/>
      <c r="C7" s="599" t="str">
        <f>IF(Lang="Français","Fusée",IF(Lang="English","Rocket",""))</f>
        <v>Fusée</v>
      </c>
      <c r="D7" s="599"/>
      <c r="N7" s="58"/>
    </row>
    <row r="8" spans="1:14" ht="12.75" customHeight="1" x14ac:dyDescent="0.25">
      <c r="A8" s="56"/>
      <c r="B8" s="140" t="str">
        <f>IF(Lang="Français","Nom",IF(Lang="English","Name",""))</f>
        <v>Nom</v>
      </c>
      <c r="C8" s="600">
        <f>Nom</f>
        <v>0</v>
      </c>
      <c r="D8" s="600"/>
      <c r="E8" s="5"/>
      <c r="F8" s="5"/>
      <c r="J8" s="4"/>
      <c r="N8" s="57"/>
    </row>
    <row r="9" spans="1:14" ht="12.75" customHeight="1" x14ac:dyDescent="0.25">
      <c r="A9" s="59"/>
      <c r="B9" s="140" t="s">
        <v>4</v>
      </c>
      <c r="C9" s="601" t="str">
        <f>Club</f>
        <v>S&amp;T Sorbonne</v>
      </c>
      <c r="D9" s="601"/>
      <c r="F9" s="5"/>
      <c r="N9" s="58"/>
    </row>
    <row r="10" spans="1:14" ht="12.75" customHeight="1" x14ac:dyDescent="0.25">
      <c r="A10" s="59"/>
      <c r="B10" s="141" t="s">
        <v>561</v>
      </c>
      <c r="C10" s="596" t="str">
        <f>Matricule</f>
        <v>FX</v>
      </c>
      <c r="D10" s="596"/>
      <c r="F10" s="5"/>
      <c r="N10" s="58"/>
    </row>
    <row r="11" spans="1:14" ht="12.75" customHeight="1" x14ac:dyDescent="0.2">
      <c r="A11" s="59"/>
      <c r="B11" s="140" t="str">
        <f>IF(Lang="Français","Masse totale",IF(Lang="English","Total Mass",""))</f>
        <v>Masse totale</v>
      </c>
      <c r="C11" s="625">
        <f ca="1">MassePlein</f>
        <v>23.672999999999998</v>
      </c>
      <c r="D11" s="625"/>
      <c r="F11" s="5"/>
      <c r="N11" s="58"/>
    </row>
    <row r="12" spans="1:14" ht="12.75" customHeight="1" x14ac:dyDescent="0.2">
      <c r="A12" s="59"/>
      <c r="B12" s="227" t="str">
        <f>IF(Lang="Français","Propulseur",IF(Lang="English","Motor",""))</f>
        <v>Propulseur</v>
      </c>
      <c r="C12" s="628" t="str">
        <f>Propu</f>
        <v>Pro98-6G Green</v>
      </c>
      <c r="D12" s="629"/>
      <c r="F12" s="5"/>
      <c r="N12" s="58"/>
    </row>
    <row r="13" spans="1:14" ht="12.75" customHeight="1" x14ac:dyDescent="0.2">
      <c r="A13" s="59"/>
      <c r="N13" s="58"/>
    </row>
    <row r="14" spans="1:14" ht="12.75" customHeight="1" x14ac:dyDescent="0.2">
      <c r="A14" s="59"/>
      <c r="B14"/>
      <c r="C14" s="599" t="str">
        <f>IF(Lang="Français","Traînée Aérdynamique",IF(Lang="English","Drag",""))</f>
        <v>Traînée Aérdynamique</v>
      </c>
      <c r="D14" s="599"/>
      <c r="N14" s="58"/>
    </row>
    <row r="15" spans="1:14" ht="12.75" customHeight="1" x14ac:dyDescent="0.2">
      <c r="A15" s="59"/>
      <c r="B15" s="140" t="s">
        <v>40</v>
      </c>
      <c r="C15" s="630">
        <f>(PI()*D_ref^2/4+E_ail*ep_ail*Q_ail)/10^6</f>
        <v>1.9431458676442588E-2</v>
      </c>
      <c r="D15" s="630"/>
      <c r="N15" s="58"/>
    </row>
    <row r="16" spans="1:14" ht="12.75" customHeight="1" x14ac:dyDescent="0.2">
      <c r="A16" s="59"/>
      <c r="B16" s="141" t="s">
        <v>5</v>
      </c>
      <c r="C16" s="623">
        <v>0.6</v>
      </c>
      <c r="D16" s="624"/>
      <c r="N16" s="58"/>
    </row>
    <row r="17" spans="1:18" ht="12.75" customHeight="1" x14ac:dyDescent="0.2">
      <c r="A17" s="59"/>
      <c r="N17" s="58"/>
    </row>
    <row r="18" spans="1:18" ht="12.75" customHeight="1" x14ac:dyDescent="0.2">
      <c r="A18" s="59"/>
      <c r="B18"/>
      <c r="C18" s="599" t="str">
        <f>IF(Lang="Français","Rampe de Lancement",IF(Lang="English","Launch Pad",""))</f>
        <v>Rampe de Lancement</v>
      </c>
      <c r="D18" s="599"/>
      <c r="N18" s="58"/>
    </row>
    <row r="19" spans="1:18" ht="12.75" customHeight="1" x14ac:dyDescent="0.2">
      <c r="A19" s="59"/>
      <c r="B19" s="140" t="str">
        <f>IF(Lang="Français","Longueur",IF(Lang="English","Length",""))</f>
        <v>Longueur</v>
      </c>
      <c r="C19" s="627">
        <f>IF(RIGHT(Type_fusee,1)=".",4, IF(LEFT(Type_fusee,4)="Mini",2.5, IF(LEFT(Type_fusee,5)="Micro",1, IF(RIGHT(Type_fusee,1)=" ",0.1,IF(LEFT(Type_fusee,1)="R",3, 2.5)))))</f>
        <v>4</v>
      </c>
      <c r="D19" s="627"/>
      <c r="N19" s="58"/>
    </row>
    <row r="20" spans="1:18" ht="12.75" customHeight="1" x14ac:dyDescent="0.2">
      <c r="A20" s="59"/>
      <c r="B20" s="140" t="str">
        <f>IF(Lang="Français","Élévation",IF(Lang="English","Angle /horizon",""))</f>
        <v>Élévation</v>
      </c>
      <c r="C20" s="626">
        <v>75</v>
      </c>
      <c r="D20" s="626"/>
      <c r="N20" s="58"/>
    </row>
    <row r="21" spans="1:18" ht="12.75" customHeight="1" x14ac:dyDescent="0.2">
      <c r="A21" s="59"/>
      <c r="B21" s="140" t="s">
        <v>6</v>
      </c>
      <c r="C21" s="627">
        <v>0</v>
      </c>
      <c r="D21" s="627"/>
      <c r="N21" s="58"/>
    </row>
    <row r="22" spans="1:18" x14ac:dyDescent="0.2">
      <c r="A22" s="59"/>
      <c r="F22" s="384" t="str">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
      </c>
      <c r="N22" s="58"/>
    </row>
    <row r="23" spans="1:18" x14ac:dyDescent="0.2">
      <c r="A23" s="59"/>
      <c r="C23" s="613" t="str">
        <f>IF(Lang="Français","DescenteSousParachute",IF(Lang="English","Over Parachute",""))</f>
        <v>DescenteSousParachute</v>
      </c>
      <c r="D23" s="614"/>
      <c r="F23" s="4"/>
      <c r="G23" s="50">
        <f ca="1">TODAY()</f>
        <v>46108</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419</v>
      </c>
      <c r="N23" s="58"/>
    </row>
    <row r="24" spans="1:18" x14ac:dyDescent="0.2">
      <c r="A24" s="59"/>
      <c r="B24"/>
      <c r="C24" s="142" t="str">
        <f>C7</f>
        <v>Fusée</v>
      </c>
      <c r="D24" s="220" t="s">
        <v>120</v>
      </c>
      <c r="E24" s="18" t="str">
        <f>IF(ABS(T_satellite-0.11-T_para)&lt;0.1,"Pb!","")</f>
        <v/>
      </c>
      <c r="F24" s="615" t="str">
        <f>IF(Lang="Français","Sortie de Rampe",IF(Lang="English","Launch-Pad Exit",""))</f>
        <v>Sortie de Rampe</v>
      </c>
      <c r="G24" s="616"/>
      <c r="H24" s="491"/>
      <c r="I24" s="491"/>
      <c r="J24" s="491"/>
      <c r="K24" s="492">
        <f ca="1">INDEX(vit_xz,MATCH("Sortie de rampe",Event,0))</f>
        <v>22.787053131608307</v>
      </c>
      <c r="L24" s="493"/>
      <c r="M24" s="500"/>
      <c r="N24" s="58"/>
    </row>
    <row r="25" spans="1:18" x14ac:dyDescent="0.2">
      <c r="A25" s="59"/>
      <c r="B25" s="466" t="str">
        <f>IF(Lang="Français","Masse",IF(Lang="English","Mass",""))</f>
        <v>Masse</v>
      </c>
      <c r="C25" s="467">
        <f ca="1">IF(Nb_sat="0 satellite",MasseVide,MasseVide-m_satellite)</f>
        <v>15.088999999999999</v>
      </c>
      <c r="D25" s="480">
        <f>IF(RIGHT(Type_fusee,1)=".",1,0.15)</f>
        <v>1</v>
      </c>
      <c r="F25" s="619" t="str">
        <f>IF(Lang="Français","Vit max &amp; Acc max",IF(Lang="English","Max Velocity &amp; Acc",""))</f>
        <v>Vit max &amp; Acc max</v>
      </c>
      <c r="G25" s="620"/>
      <c r="H25" s="115"/>
      <c r="I25" s="115"/>
      <c r="J25" s="115"/>
      <c r="K25" s="158">
        <f ca="1">MAX(vit_xz)</f>
        <v>455.60156621233614</v>
      </c>
      <c r="L25" s="494">
        <f ca="1">MAX(acc_xz)</f>
        <v>84.667705685844993</v>
      </c>
      <c r="M25" s="500"/>
      <c r="N25" s="58"/>
    </row>
    <row r="26" spans="1:18" x14ac:dyDescent="0.2">
      <c r="A26" s="59"/>
      <c r="B26" s="469" t="str">
        <f>IF(Lang="Français","Dépotage",IF(Lang="English","Delay",""))</f>
        <v>Dépotage</v>
      </c>
      <c r="C26" s="505" t="s">
        <v>405</v>
      </c>
      <c r="D26" s="535"/>
      <c r="F26" s="621" t="str">
        <f>IF(Lang="Français","Largage du satellite",IF(Lang="English","Satellite separation",""))</f>
        <v>Largage du satellite</v>
      </c>
      <c r="G26" s="622"/>
      <c r="H26" s="152">
        <f>IF(T_satellite&lt;&gt;0,T_satellite,"")</f>
        <v>3.5</v>
      </c>
      <c r="I26" s="156">
        <f ca="1">IF(T_satellite&lt;&gt;0,INDEX(pos_z,MATCH("Satellite",Event_sat,0)),"")</f>
        <v>413.8080081631316</v>
      </c>
      <c r="J26" s="154">
        <f ca="1">IF(T_satellite&lt;&gt;0,INDEX(pos_x,MATCH("Satellite",Event_sat,0)),"")</f>
        <v>145.03074725623739</v>
      </c>
      <c r="K26" s="159">
        <f ca="1">IF(T_satellite&lt;&gt;0,INDEX(vit_xz,MATCH("Satellite",Event_sat,0)),"")</f>
        <v>264.25931636003202</v>
      </c>
      <c r="L26" s="495"/>
      <c r="M26" s="485">
        <f ca="1">1/2*Rho_moyen*1*V_ouv_sat^2*S_satellite</f>
        <v>4277.2704098381282</v>
      </c>
      <c r="N26" s="58"/>
    </row>
    <row r="27" spans="1:18" x14ac:dyDescent="0.2">
      <c r="A27" s="59"/>
      <c r="B27" s="468" t="str">
        <f>IF(Lang="Français","Ouverture para",IF(Lang="English","Opening time",""))</f>
        <v>Ouverture para</v>
      </c>
      <c r="C27" s="507">
        <v>22</v>
      </c>
      <c r="D27" s="507">
        <v>3.5</v>
      </c>
      <c r="F27" s="619" t="s">
        <v>15</v>
      </c>
      <c r="G27" s="620"/>
      <c r="H27" s="153">
        <f ca="1">INDEX(t,MATCH("Apogée",Event,0))</f>
        <v>26.199999999999989</v>
      </c>
      <c r="I27" s="157">
        <f ca="1">INDEX(pos_z,MATCH("Apogée",Event,0))</f>
        <v>4270.8545508077032</v>
      </c>
      <c r="J27" s="155">
        <f ca="1">INDEX(pos_x,MATCH("Apogée",Event,0))</f>
        <v>2276.6197711600475</v>
      </c>
      <c r="K27" s="160">
        <f ca="1">INDEX(vit_xz,MATCH("Apogée",Event,0))</f>
        <v>57.45950764785124</v>
      </c>
      <c r="L27" s="496"/>
      <c r="M27" s="500"/>
      <c r="N27" s="58"/>
    </row>
    <row r="28" spans="1:18" x14ac:dyDescent="0.2">
      <c r="A28" s="59"/>
      <c r="B28" s="534" t="s">
        <v>556</v>
      </c>
      <c r="C28" s="507" t="s">
        <v>557</v>
      </c>
      <c r="D28" s="507"/>
      <c r="F28" s="617" t="str">
        <f>IF(Lang="Français","Ouverture parachute fusée",IF(Lang="English","Rocket parachute opening",""))</f>
        <v>Ouverture parachute fusée</v>
      </c>
      <c r="G28" s="618"/>
      <c r="H28" s="152">
        <f>T_para</f>
        <v>22</v>
      </c>
      <c r="I28" s="156">
        <f ca="1">INDEX(pos_z,MATCH("Para",Event_para,0))</f>
        <v>4181.0768923442456</v>
      </c>
      <c r="J28" s="486">
        <f ca="1">INDEX(pos_x,MATCH("Para",Event_para,0))</f>
        <v>2025.4321830986548</v>
      </c>
      <c r="K28" s="159">
        <f ca="1">INDEX(vit_xz,MATCH("Para",Event_para,0))</f>
        <v>76.010246992125587</v>
      </c>
      <c r="L28" s="495"/>
      <c r="M28" s="485">
        <f ca="1">1/2*Rho_moyen*1*V_ouverture^2*S_para</f>
        <v>2223.4647510989657</v>
      </c>
      <c r="N28" s="58"/>
      <c r="P28" s="384" t="str">
        <f ca="1">IF(V_para&lt;5, IF(Lang="Français","Parachute fusée trop grand !","Parachute too big!"), IF( V_para&gt;15, IF(Lang="Français","Parachute fusée trop petit !","Parachute too small!"), ""))</f>
        <v>Parachute fusée trop petit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0.62831853071795862</v>
      </c>
      <c r="D29" s="17">
        <f>IF(RIGHT(Type_fusee,1)=".",0.1,0.02)</f>
        <v>0.1</v>
      </c>
      <c r="F29" s="606" t="str">
        <f>IF(Lang="Français","Impact balistique",IF(Lang="English","Balistic Impact",""))</f>
        <v>Impact balistique</v>
      </c>
      <c r="G29" s="607"/>
      <c r="H29" s="497" t="e">
        <f ca="1">INDEX(t,MATCH("Impact balistique",Event,0))</f>
        <v>#N/A</v>
      </c>
      <c r="I29" s="517" t="s">
        <v>425</v>
      </c>
      <c r="J29" s="487" t="e">
        <f ca="1">INDEX(pos_x,MATCH("Impact balistique",Event,0))</f>
        <v>#N/A</v>
      </c>
      <c r="K29" s="501" t="e">
        <f ca="1">K47</f>
        <v>#N/A</v>
      </c>
      <c r="L29" s="498"/>
      <c r="M29" s="502" t="e">
        <f ca="1">0.5*m_vide*K29^2</f>
        <v>#N/A</v>
      </c>
      <c r="N29" s="58"/>
      <c r="P29" s="384" t="str">
        <f ca="1">IF( OR( V_para&lt;5, V_para&gt;15, AND(Nb_sat="1 satellite", OR(V_satellite&lt;5, V_satellite&gt;15))), IF(Lang="Français","La Vitesse de descente sous parachute doit être comprise entre 5 &amp; 15 m/s.","Fall Velocity with parachute must be between 5 &amp; 15 m/s."), "")</f>
        <v>La Vitesse de descente sous parachute doit être comprise entre 5 &amp; 15 m/s.</v>
      </c>
    </row>
    <row r="30" spans="1:18" x14ac:dyDescent="0.2">
      <c r="A30" s="59"/>
      <c r="B30" s="141" t="s">
        <v>10</v>
      </c>
      <c r="C30" s="143">
        <v>1.5</v>
      </c>
      <c r="D30" s="143">
        <v>1</v>
      </c>
      <c r="E30" s="18" t="str">
        <f>IF(AND(T_satellite=0,m_satellite&lt;&gt;0),"Erreur !","")</f>
        <v/>
      </c>
      <c r="G30" s="483"/>
      <c r="H30" s="484"/>
      <c r="I30" s="488"/>
      <c r="N30" s="58"/>
      <c r="P30" s="384" t="e">
        <f ca="1">IF(AND(Portee_balistique&gt;200,LEFT(Type_propu,4)="Mini"),IF(Lang="Français","Fusée trop lègère !","Rocket too light"),"")</f>
        <v>#N/A</v>
      </c>
    </row>
    <row r="31" spans="1:18" x14ac:dyDescent="0.2">
      <c r="A31" s="59"/>
      <c r="B31" s="141" t="str">
        <f>IF(Lang="Français","Vitesse du vent",IF(Lang="English","Wind speed",""))</f>
        <v>Vitesse du vent</v>
      </c>
      <c r="C31" s="144">
        <v>5</v>
      </c>
      <c r="D31" s="144">
        <f>V_vent</f>
        <v>5</v>
      </c>
      <c r="G31" s="483"/>
      <c r="H31" s="484"/>
      <c r="I31" s="488"/>
      <c r="N31" s="58"/>
      <c r="P31" s="384" t="str">
        <f ca="1">IF(OR(AND(Vsortie_de_rampe&lt;20,LEFT(Type_fusee,1)="F"),AND(Vsortie_de_rampe&lt;18, OR(LEFT(Type_fusee,1)=",",LEFT(Type_fusee,4)="Mini",LEFT(Type_fusee,1)="R"))),IF(Lang="Français","Fusée trop lourde ou rampe trop courte !","Rocket too heavy or launch pad too small!"),"")</f>
        <v/>
      </c>
    </row>
    <row r="32" spans="1:18" x14ac:dyDescent="0.2">
      <c r="A32" s="59"/>
      <c r="B32" s="133" t="str">
        <f>IF(Lang="Français","Vitesse descente",IF(Lang="English","Fall velocity",""))</f>
        <v>Vitesse descente</v>
      </c>
      <c r="C32" s="424">
        <f ca="1">SQRT(2*m_vide*g/Rho_moyen/S_para/Cx_para)</f>
        <v>16.013126066584963</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Ouverture parachute fusée précoce.</v>
      </c>
    </row>
    <row r="33" spans="1:16" x14ac:dyDescent="0.2">
      <c r="A33" s="59"/>
      <c r="B33" s="133" t="str">
        <f>IF(Lang="Français","Durée descente",IF(Lang="English","Fall duration",""))</f>
        <v>Durée descente</v>
      </c>
      <c r="C33" s="132">
        <f ca="1">Alt_para/V_para</f>
        <v>261.10310222742925</v>
      </c>
      <c r="D33" s="132">
        <f ca="1">IF(V_satellite&lt;&gt;0,Alt_sat/V_satellite,0)</f>
        <v>32.6977172401023</v>
      </c>
      <c r="H33" s="608" t="str">
        <f>IF(Lang="Français","Pour localiser la fusée","To locate the rocket")</f>
        <v>Pour localiser la fusée</v>
      </c>
      <c r="I33" s="608"/>
      <c r="J33" s="482"/>
      <c r="N33" s="395"/>
      <c r="P33" s="384" t="str">
        <f ca="1">IF(ABS(Temps_culmi-T_para)&gt;2,IF(Lang="Français","Attention, aux efforts sur le parachute lors de l'ouverture !","Becarefull to the opening chute efforts!"),"")</f>
        <v>Attention, aux efforts sur le parachute lors de l'ouverture !</v>
      </c>
    </row>
    <row r="34" spans="1:16" customFormat="1" x14ac:dyDescent="0.2">
      <c r="A34" s="59"/>
      <c r="B34" s="133" t="str">
        <f>IF(Lang="Français","Durée du vol",IF(Lang="English","Fligth duration",""))</f>
        <v>Durée du vol</v>
      </c>
      <c r="C34" s="132">
        <f ca="1">T_para+Dt_para</f>
        <v>283.10310222742925</v>
      </c>
      <c r="D34" s="132">
        <f ca="1">T_satellite+Dt_satellite</f>
        <v>36.1977172401023</v>
      </c>
      <c r="F34" s="608" t="str">
        <f>IF(Lang="Français","Couleur fuselage/coiffe","Body/Nose color")</f>
        <v>Couleur fuselage/coiffe</v>
      </c>
      <c r="G34" s="608"/>
      <c r="H34" s="604" t="s">
        <v>570</v>
      </c>
      <c r="I34" s="605"/>
      <c r="J34" s="1"/>
      <c r="K34" s="1"/>
      <c r="L34" s="1"/>
      <c r="M34" s="1"/>
      <c r="N34" s="394"/>
    </row>
    <row r="35" spans="1:16" x14ac:dyDescent="0.2">
      <c r="A35" s="74"/>
      <c r="B35" s="133" t="str">
        <f>IF(Lang="Français","Déport latéral",IF(Lang="English","Lateral shift",""))</f>
        <v>Déport latéral</v>
      </c>
      <c r="C35" s="151">
        <f ca="1">Alt_para*V_vent/V_para</f>
        <v>1305.5155111371462</v>
      </c>
      <c r="D35" s="151">
        <f ca="1">IF(V_satellite&lt;&gt;0,Alt_sat*V_vent_sat/V_satellite,0)</f>
        <v>163.48858620051146</v>
      </c>
      <c r="F35" s="608" t="str">
        <f>IF(Lang="Français","Couleur parachute fusée","Rocket parachute color")</f>
        <v>Couleur parachute fusée</v>
      </c>
      <c r="G35" s="608"/>
      <c r="H35" s="604" t="s">
        <v>571</v>
      </c>
      <c r="I35" s="605"/>
      <c r="J35"/>
      <c r="K35"/>
      <c r="L35"/>
      <c r="M35"/>
      <c r="N35" s="394" t="str">
        <f>IF(Lang="Français","fichier initial","Initial file")</f>
        <v>fichier initial</v>
      </c>
      <c r="P35"/>
    </row>
    <row r="36" spans="1:16" x14ac:dyDescent="0.2">
      <c r="A36" s="59"/>
      <c r="F36" s="608" t="str">
        <f>IF(Lang="Français","Couleur parachute satellite","Satellite parachute color")</f>
        <v>Couleur parachute satellite</v>
      </c>
      <c r="G36" s="608"/>
      <c r="H36" s="612" t="s">
        <v>158</v>
      </c>
      <c r="I36" s="612"/>
      <c r="N36" s="393" t="str">
        <f>IF(ROUND(SUM(Propu!5:1228),0)=437735,"propu OK","propu NOK")</f>
        <v>propu OK</v>
      </c>
      <c r="P36"/>
    </row>
    <row r="37" spans="1:16" ht="13.5" thickBot="1" x14ac:dyDescent="0.25">
      <c r="A37" s="60"/>
      <c r="B37" s="181" t="str">
        <f>IF(Lang="Français","Commentaire libre :",IF(Lang="English","Free comment:",""))</f>
        <v>Commentaire libre :</v>
      </c>
      <c r="C37" s="61" t="s">
        <v>569</v>
      </c>
      <c r="D37" s="61"/>
      <c r="E37" s="61"/>
      <c r="F37" s="61"/>
      <c r="G37" s="61"/>
      <c r="H37" s="61"/>
      <c r="I37" s="61"/>
      <c r="J37" s="61"/>
      <c r="K37" s="61"/>
      <c r="L37" s="61"/>
      <c r="M37" s="61"/>
      <c r="N37" s="290" t="s">
        <v>565</v>
      </c>
    </row>
    <row r="40" spans="1:16" x14ac:dyDescent="0.2">
      <c r="A40" s="609" t="str">
        <f>IF(Lang="Français","Calcul de la surface d'un parachute","Parachute surface calculation")</f>
        <v>Calcul de la surface d'un parachute</v>
      </c>
      <c r="B40" s="610"/>
      <c r="C40" s="610"/>
      <c r="D40" s="611"/>
      <c r="F40" s="609" t="str">
        <f>IF(Lang="Français","Résultats détaillés","Detailled results")</f>
        <v>Résultats détaillés</v>
      </c>
      <c r="G40" s="611"/>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633" t="str">
        <f>IF(Lang="Français","Décollage",IF(Lang="English","Lift-Off",""))</f>
        <v>Décollage</v>
      </c>
      <c r="G42" s="633"/>
      <c r="H42" s="150">
        <v>0</v>
      </c>
      <c r="I42" s="150">
        <v>0</v>
      </c>
      <c r="J42" s="150">
        <v>0</v>
      </c>
      <c r="K42" s="150">
        <v>0</v>
      </c>
      <c r="L42" s="148" t="s">
        <v>14</v>
      </c>
      <c r="M42" s="149">
        <f>Beta_rampe</f>
        <v>75</v>
      </c>
    </row>
    <row r="43" spans="1:16" x14ac:dyDescent="0.2">
      <c r="A43" s="161"/>
      <c r="B43" s="166" t="str">
        <f>IF(Lang="Français","Bord   'a'","Side length 'a'")</f>
        <v>Bord   'a'</v>
      </c>
      <c r="D43" s="162"/>
      <c r="F43" s="620" t="str">
        <f>IF(Lang="Français","Sortie de Rampe",IF(Lang="English","Launch-Pad Exit",""))</f>
        <v>Sortie de Rampe</v>
      </c>
      <c r="G43" s="620"/>
      <c r="H43" s="115">
        <f ca="1">INDEX(t,MATCH("Sortie de rampe",Event,0))</f>
        <v>0.38000000000000017</v>
      </c>
      <c r="I43" s="115">
        <f ca="1">INDEX(pos_z,MATCH("Sortie de rampe",Event,0))</f>
        <v>3.792094300545013</v>
      </c>
      <c r="J43" s="115">
        <f ca="1">INDEX(pos_x,MATCH("Sortie de rampe",Event,0))</f>
        <v>1.0160162710833014</v>
      </c>
      <c r="K43" s="116">
        <f ca="1">INDEX(vit_xz,MATCH("Sortie de rampe",Event,0))</f>
        <v>22.787053131608307</v>
      </c>
      <c r="L43" s="116">
        <f ca="1">INDEX(acc_xz,MATCH("Sortie de rampe",Event,0))</f>
        <v>67.196108570642991</v>
      </c>
      <c r="M43" s="116">
        <f ca="1">INDEX(BetaD,MATCH("Sortie de rampe",Event,0))</f>
        <v>75</v>
      </c>
    </row>
    <row r="44" spans="1:16" x14ac:dyDescent="0.2">
      <c r="A44" s="161"/>
      <c r="B44" s="167">
        <v>249</v>
      </c>
      <c r="D44" s="162"/>
      <c r="F44" s="620" t="str">
        <f>IF(Lang="Français","Vit max &amp; Acc max",IF(Lang="English","Max Velocity &amp; Acc",""))</f>
        <v>Vit max &amp; Acc max</v>
      </c>
      <c r="G44" s="620"/>
      <c r="H44" s="115" t="s">
        <v>14</v>
      </c>
      <c r="I44" s="115" t="s">
        <v>14</v>
      </c>
      <c r="J44" s="115" t="s">
        <v>14</v>
      </c>
      <c r="K44" s="117">
        <f ca="1">MAX(vit_xz)</f>
        <v>455.60156621233614</v>
      </c>
      <c r="L44" s="118">
        <f ca="1">MAX(acc_xz)</f>
        <v>84.667705685844993</v>
      </c>
      <c r="M44" s="116" t="s">
        <v>14</v>
      </c>
    </row>
    <row r="45" spans="1:16" x14ac:dyDescent="0.2">
      <c r="A45" s="161"/>
      <c r="B45" s="166" t="str">
        <f>IF(Lang="Français","Coté   'b'","Side width 'b'")</f>
        <v>Coté   'b'</v>
      </c>
      <c r="D45" s="162"/>
      <c r="F45" s="620" t="str">
        <f>IF(Lang="Français","Fin de Propulsion",IF(Lang="English","Motor Burn-Out",""))</f>
        <v>Fin de Propulsion</v>
      </c>
      <c r="G45" s="620"/>
      <c r="H45" s="116">
        <f ca="1">INDEX(t,MATCH("Fin de propulsion",Event,0))</f>
        <v>7.2599999999998897</v>
      </c>
      <c r="I45" s="119">
        <f ca="1">INDEX(pos_z,MATCH("Fin de propulsion",Event,0))</f>
        <v>1765.5975283828532</v>
      </c>
      <c r="J45" s="119">
        <f ca="1">INDEX(pos_x,MATCH("Fin de propulsion",Event,0))</f>
        <v>683.47307818702404</v>
      </c>
      <c r="K45" s="119">
        <f ca="1">INDEX(vit_xz,MATCH("Fin de propulsion",Event,0))</f>
        <v>435.51719672733282</v>
      </c>
      <c r="L45" s="116">
        <f ca="1">INDEX(acc_xz,MATCH("Fin de propulsion",Event,0))</f>
        <v>84.667705685844993</v>
      </c>
      <c r="M45" s="116">
        <f ca="1">INDEX(BetaD,MATCH("Fin de propulsion",Event,0))</f>
        <v>67.419643530870246</v>
      </c>
    </row>
    <row r="46" spans="1:16" x14ac:dyDescent="0.2">
      <c r="A46" s="161"/>
      <c r="B46" s="168">
        <v>199</v>
      </c>
      <c r="D46" s="162"/>
      <c r="F46" s="620" t="s">
        <v>15</v>
      </c>
      <c r="G46" s="620"/>
      <c r="H46" s="118">
        <f ca="1">INDEX(t,MATCH("Apogée",Event,0))</f>
        <v>26.199999999999989</v>
      </c>
      <c r="I46" s="117">
        <f ca="1">INDEX(pos_z,MATCH("Apogée",Event,0))</f>
        <v>4270.8545508077032</v>
      </c>
      <c r="J46" s="120">
        <f ca="1">INDEX(pos_x,MATCH("Apogée",Event,0))</f>
        <v>2276.6197711600475</v>
      </c>
      <c r="K46" s="120">
        <f ca="1">INDEX(vit_xz,MATCH("Apogée",Event,0))</f>
        <v>57.45950764785124</v>
      </c>
      <c r="L46" s="116">
        <f ca="1">INDEX(acc_xz,MATCH("Apogée",Event,0))</f>
        <v>9.8826724680672964</v>
      </c>
      <c r="M46" s="121">
        <f ca="1">INDEX(BetaD,MATCH("Apogée",Event,0))</f>
        <v>0.1642397533536423</v>
      </c>
    </row>
    <row r="47" spans="1:16" x14ac:dyDescent="0.2">
      <c r="A47" s="161"/>
      <c r="B47" s="169" t="s">
        <v>9</v>
      </c>
      <c r="D47" s="162"/>
      <c r="F47" s="635" t="str">
        <f>IF(Lang="Français","Impact balistique",IF(Lang="English","Balistic Impact",""))</f>
        <v>Impact balistique</v>
      </c>
      <c r="G47" s="635"/>
      <c r="H47" s="116" t="e">
        <f ca="1">INDEX(t,MATCH("Impact balistique",Event,0))</f>
        <v>#N/A</v>
      </c>
      <c r="I47" s="148" t="s">
        <v>16</v>
      </c>
      <c r="J47" s="117" t="e">
        <f ca="1">INDEX(pos_x,MATCH("Impact balistique",Event,0))</f>
        <v>#N/A</v>
      </c>
      <c r="K47" s="119" t="e">
        <f ca="1">INDEX(vit_xz,MATCH("Impact balistique",Event,0))</f>
        <v>#N/A</v>
      </c>
      <c r="L47" s="116" t="e">
        <f ca="1">INDEX(acc_xz,MATCH("Impact balistique",Event,0))</f>
        <v>#N/A</v>
      </c>
      <c r="M47" s="116" t="e">
        <f ca="1">INDEX(BetaD,MATCH("Impact balistique",Event,0))</f>
        <v>#N/A</v>
      </c>
    </row>
    <row r="48" spans="1:16" x14ac:dyDescent="0.2">
      <c r="A48" s="161"/>
      <c r="B48" s="174">
        <f>(4*B44*B46+B44^2)/10^6</f>
        <v>0.26020500000000002</v>
      </c>
      <c r="D48" s="162"/>
      <c r="F48" s="618" t="str">
        <f>IF(Lang="Français","Ouverture parachute fusée",IF(Lang="English","Rocket parachute opening",""))</f>
        <v>Ouverture parachute fusée</v>
      </c>
      <c r="G48" s="618"/>
      <c r="H48" s="122">
        <f>T_para</f>
        <v>22</v>
      </c>
      <c r="I48" s="123">
        <f ca="1">INDEX(pos_z,MATCH("Para",Event_para,0))</f>
        <v>4181.0768923442456</v>
      </c>
      <c r="J48" s="123">
        <f ca="1">INDEX(pos_x,MATCH("Para",Event_para,0))</f>
        <v>2025.4321830986548</v>
      </c>
      <c r="K48" s="123">
        <f ca="1">INDEX(vit_xz,MATCH("Para",Event_para,0))</f>
        <v>76.010246992125587</v>
      </c>
      <c r="L48" s="122">
        <f ca="1">INDEX(acc_xz,MATCH("Para",Event_para,0))</f>
        <v>10.966568051497688</v>
      </c>
      <c r="M48" s="124">
        <f ca="1">INDEX(BetaD,MATCH("Para",Event_para,0))</f>
        <v>34.71697681975018</v>
      </c>
    </row>
    <row r="49" spans="1:13" x14ac:dyDescent="0.2">
      <c r="A49" s="161"/>
      <c r="D49" s="162"/>
      <c r="F49" s="636" t="str">
        <f>IF(Lang="Français","Impact fusée sous para.",IF(Lang="English","Impact of rocket with para. ",""))</f>
        <v>Impact fusée sous para.</v>
      </c>
      <c r="G49" s="636"/>
      <c r="H49" s="125">
        <f ca="1">T_para+Dt_para</f>
        <v>283.10310222742925</v>
      </c>
      <c r="I49" s="127" t="s">
        <v>16</v>
      </c>
      <c r="J49" s="126" t="str">
        <f ca="1">CONCATENATE(TEXT(X_para-Dx_para,"0")," | ",TEXT(X_para+Dx_para,"0"))</f>
        <v>720 | 3331</v>
      </c>
      <c r="K49" s="126">
        <f ca="1">V_para</f>
        <v>16.013126066584963</v>
      </c>
      <c r="L49" s="128">
        <f>g</f>
        <v>9.81</v>
      </c>
      <c r="M49" s="128" t="s">
        <v>14</v>
      </c>
    </row>
    <row r="50" spans="1:13" x14ac:dyDescent="0.2">
      <c r="A50" s="161"/>
      <c r="D50" s="162"/>
      <c r="F50" s="634" t="str">
        <f>IF(Lang="Français","Largage du satellite",IF(Lang="English","Satellite separation",""))</f>
        <v>Largage du satellite</v>
      </c>
      <c r="G50" s="622"/>
      <c r="H50" s="122">
        <f>IF(T_satellite&lt;&gt;0,T_satellite,"")</f>
        <v>3.5</v>
      </c>
      <c r="I50" s="123">
        <f ca="1">IF(T_satellite&lt;&gt;0,INDEX(pos_z,MATCH("Satellite",Event_sat,0)),"")</f>
        <v>413.8080081631316</v>
      </c>
      <c r="J50" s="129">
        <f ca="1">IF(T_satellite&lt;&gt;0,INDEX(pos_x,MATCH("Satellite",Event_sat,0)),"")</f>
        <v>145.03074725623739</v>
      </c>
      <c r="K50" s="123">
        <f ca="1">IF(T_satellite&lt;&gt;0,INDEX(vit_xz,MATCH("Satellite",Event_sat,0)),"")</f>
        <v>264.25931636003202</v>
      </c>
      <c r="L50" s="122">
        <f ca="1">IF(T_satellite&lt;&gt;0,INDEX(acc_xz,MATCH("Satellite",Event_sat,0)),"")</f>
        <v>80.624814798015137</v>
      </c>
      <c r="M50" s="124">
        <f ca="1">IF(T_satellite&lt;&gt;0,INDEX(BetaD,MATCH("Satellite",Event_sat,0)),"")</f>
        <v>69.475421521536234</v>
      </c>
    </row>
    <row r="51" spans="1:13" x14ac:dyDescent="0.2">
      <c r="A51" s="161"/>
      <c r="B51" s="166" t="str">
        <f>IF(Lang="Français","Rayon exterieur","Half-diameter ext")</f>
        <v>Rayon exterieur</v>
      </c>
      <c r="D51" s="162"/>
      <c r="F51" s="631" t="str">
        <f>IF(Lang="Français","Impact du satellite",IF(Lang="English","Satellite impact",""))</f>
        <v>Impact du satellite</v>
      </c>
      <c r="G51" s="632"/>
      <c r="H51" s="125">
        <f ca="1">IF(T_satellite&lt;&gt;0,T_satellite+Dt_satellite,"")</f>
        <v>36.1977172401023</v>
      </c>
      <c r="I51" s="130" t="str">
        <f>IF(T_satellite&lt;&gt;0,"~0","")</f>
        <v>~0</v>
      </c>
      <c r="J51" s="130" t="str">
        <f ca="1">IF(T_satellite&lt;&gt;0,CONCATENATE(TEXT(X_satellite-Dx_sat,"0")," | ",TEXT(X_satellite+Dx_sat,"0")),"")</f>
        <v>-18 | 309</v>
      </c>
      <c r="K51" s="130">
        <f>IF(T_satellite&lt;&gt;0,V_satellite,"")</f>
        <v>12.655562623057198</v>
      </c>
      <c r="L51" s="128">
        <f>IF(T_satellite&lt;&gt;0,g,"")</f>
        <v>9.81</v>
      </c>
      <c r="M51" s="131" t="str">
        <f>IF(T_satellite&lt;&gt;0,"-","")</f>
        <v>-</v>
      </c>
    </row>
    <row r="52" spans="1:13" x14ac:dyDescent="0.2">
      <c r="A52" s="161"/>
      <c r="B52" s="168">
        <v>450</v>
      </c>
      <c r="D52" s="162"/>
    </row>
    <row r="53" spans="1:13" x14ac:dyDescent="0.2">
      <c r="A53" s="161"/>
      <c r="B53" s="166" t="str">
        <f>IF(Lang="Français","Rayon intérieur","Half-diameter int")</f>
        <v>Rayon intérieur</v>
      </c>
      <c r="D53" s="162"/>
    </row>
    <row r="54" spans="1:13" x14ac:dyDescent="0.2">
      <c r="A54" s="161"/>
      <c r="B54" s="168">
        <v>50</v>
      </c>
      <c r="D54" s="162"/>
    </row>
    <row r="55" spans="1:13" x14ac:dyDescent="0.2">
      <c r="A55" s="161"/>
      <c r="B55" s="169" t="s">
        <v>9</v>
      </c>
      <c r="D55" s="162"/>
    </row>
    <row r="56" spans="1:13" x14ac:dyDescent="0.2">
      <c r="A56" s="161"/>
      <c r="B56" s="174">
        <f>PI()*(B52^2-B54^2)/10^6</f>
        <v>0.62831853071795862</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405</v>
      </c>
      <c r="G104" s="1" t="s">
        <v>412</v>
      </c>
      <c r="I104" s="1" t="s">
        <v>557</v>
      </c>
    </row>
    <row r="105" spans="2:9" x14ac:dyDescent="0.2">
      <c r="B105" s="1" t="s">
        <v>120</v>
      </c>
      <c r="F105" s="477">
        <f ca="1">Combustion+Depotage-9</f>
        <v>-9</v>
      </c>
      <c r="G105" s="478" t="s">
        <v>407</v>
      </c>
      <c r="I105" s="1" t="s">
        <v>558</v>
      </c>
    </row>
    <row r="106" spans="2:9" x14ac:dyDescent="0.2">
      <c r="B106" s="1" t="s">
        <v>121</v>
      </c>
      <c r="F106" s="477">
        <f ca="1">Combustion+Depotage-7</f>
        <v>-7</v>
      </c>
      <c r="G106" s="478" t="s">
        <v>408</v>
      </c>
      <c r="I106" s="1" t="s">
        <v>559</v>
      </c>
    </row>
    <row r="107" spans="2:9" x14ac:dyDescent="0.2">
      <c r="B107" s="1" t="str">
        <f>IF(T_para&gt;0,IF(Lang="Français","Phase ascendante","Climbing phase"),"")</f>
        <v>Phase ascendante</v>
      </c>
      <c r="F107" s="477">
        <f ca="1">Combustion+Depotage-5</f>
        <v>-5</v>
      </c>
      <c r="G107" s="478" t="s">
        <v>409</v>
      </c>
    </row>
    <row r="108" spans="2:9" x14ac:dyDescent="0.2">
      <c r="B108" s="1" t="str">
        <f>IF(Lang="Français","Descente balistique","Balistic fall")</f>
        <v>Descente balistique</v>
      </c>
      <c r="F108" s="477">
        <f ca="1">Combustion+Depotage-3</f>
        <v>-3</v>
      </c>
      <c r="G108" s="478" t="s">
        <v>410</v>
      </c>
    </row>
    <row r="109" spans="2:9" x14ac:dyDescent="0.2">
      <c r="B109" s="1" t="str">
        <f>IF(T_para&gt;0,IF(Lang="Français","Fusée sous parachute","Rocket under parachute"),"")</f>
        <v>Fusée sous parachute</v>
      </c>
      <c r="F109" s="477">
        <f ca="1">Combustion+Depotage</f>
        <v>0</v>
      </c>
      <c r="G109" s="478" t="s">
        <v>411</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22</v>
      </c>
    </row>
    <row r="116" spans="2:3" x14ac:dyDescent="0.2">
      <c r="B116" s="1" t="s">
        <v>406</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t="e">
        <f ca="1">MAX(Altitude_culmi,Portee_balistique)</f>
        <v>#N/A</v>
      </c>
      <c r="C121" s="216" t="e">
        <f ca="1">MAX(Altitude_culmi,Portee_balistique)</f>
        <v>#N/A</v>
      </c>
    </row>
    <row r="123" spans="2:3" x14ac:dyDescent="0.2">
      <c r="B123" s="210" t="s">
        <v>49</v>
      </c>
      <c r="C123" s="211" t="s">
        <v>45</v>
      </c>
    </row>
    <row r="124" spans="2:3" x14ac:dyDescent="0.2">
      <c r="B124" s="217">
        <f ca="1">X_para</f>
        <v>2025.4321830986548</v>
      </c>
      <c r="C124" s="214">
        <f ca="1">Alt_para</f>
        <v>4181.0768923442456</v>
      </c>
    </row>
    <row r="125" spans="2:3" x14ac:dyDescent="0.2">
      <c r="B125" s="217">
        <f ca="1">X_para</f>
        <v>2025.4321830986548</v>
      </c>
      <c r="C125" s="214">
        <f ca="1">Alt_para/2</f>
        <v>2090.5384461721228</v>
      </c>
    </row>
    <row r="126" spans="2:3" x14ac:dyDescent="0.2">
      <c r="B126" s="217">
        <f ca="1">X_para</f>
        <v>2025.4321830986548</v>
      </c>
      <c r="C126" s="214">
        <v>0</v>
      </c>
    </row>
    <row r="127" spans="2:3" x14ac:dyDescent="0.2">
      <c r="B127" s="217">
        <f ca="1">X_para+Alt_para/40</f>
        <v>2129.9591054072612</v>
      </c>
      <c r="C127" s="214">
        <f ca="1">Alt_para/20</f>
        <v>209.05384461721229</v>
      </c>
    </row>
    <row r="128" spans="2:3" x14ac:dyDescent="0.2">
      <c r="B128" s="217">
        <f ca="1">X_para</f>
        <v>2025.4321830986548</v>
      </c>
      <c r="C128" s="214">
        <v>0</v>
      </c>
    </row>
    <row r="129" spans="2:6" x14ac:dyDescent="0.2">
      <c r="B129" s="217">
        <f ca="1">X_para-Alt_para/40</f>
        <v>1920.9052607900487</v>
      </c>
      <c r="C129" s="214">
        <f ca="1">Alt_para/20</f>
        <v>209.05384461721229</v>
      </c>
    </row>
    <row r="130" spans="2:6" x14ac:dyDescent="0.2">
      <c r="B130" s="218">
        <f ca="1">X_para</f>
        <v>2025.4321830986548</v>
      </c>
      <c r="C130" s="219">
        <v>0</v>
      </c>
    </row>
    <row r="131" spans="2:6" x14ac:dyDescent="0.2">
      <c r="B131" s="210" t="s">
        <v>48</v>
      </c>
      <c r="C131" s="211" t="s">
        <v>45</v>
      </c>
    </row>
    <row r="132" spans="2:6" x14ac:dyDescent="0.2">
      <c r="B132" s="213">
        <f>T_para</f>
        <v>22</v>
      </c>
      <c r="C132" s="214">
        <f ca="1">Alt_para</f>
        <v>4181.0768923442456</v>
      </c>
    </row>
    <row r="133" spans="2:6" x14ac:dyDescent="0.2">
      <c r="B133" s="213">
        <f ca="1">(B132+B134)/2</f>
        <v>152.55155111371462</v>
      </c>
      <c r="C133" s="214">
        <f ca="1">(C132+C134)/2</f>
        <v>2090.5384461721228</v>
      </c>
      <c r="E133" s="232">
        <v>1</v>
      </c>
      <c r="F133" s="233" t="s">
        <v>175</v>
      </c>
    </row>
    <row r="134" spans="2:6" x14ac:dyDescent="0.2">
      <c r="B134" s="213">
        <f ca="1">H49</f>
        <v>283.10310222742925</v>
      </c>
      <c r="C134" s="214">
        <f>0</f>
        <v>0</v>
      </c>
      <c r="E134" s="161">
        <v>1</v>
      </c>
      <c r="F134" s="234" t="s">
        <v>176</v>
      </c>
    </row>
    <row r="135" spans="2:6" x14ac:dyDescent="0.2">
      <c r="B135" s="213" t="e">
        <f ca="1">H49+E133*sS/2*zZ_fus-E134*sS*tT_fus</f>
        <v>#N/A</v>
      </c>
      <c r="C135" s="214" t="e">
        <f ca="1">Alt_para-V_para*(H49-T_para)+E133*sS*Altitude_culmi/H49*zZ_fus+E134*sS/2*Altitude_culmi/H49*tT_fus</f>
        <v>#N/A</v>
      </c>
      <c r="E135" s="161"/>
      <c r="F135" s="241" t="s">
        <v>177</v>
      </c>
    </row>
    <row r="136" spans="2:6" x14ac:dyDescent="0.2">
      <c r="B136" s="213">
        <f ca="1">H49</f>
        <v>283.10310222742925</v>
      </c>
      <c r="C136" s="214">
        <f ca="1">Alt_para-V_para*(H49-T_para)</f>
        <v>0</v>
      </c>
      <c r="E136" s="235" t="s">
        <v>172</v>
      </c>
      <c r="F136" s="236" t="e">
        <f ca="1">T_balistique/10</f>
        <v>#N/A</v>
      </c>
    </row>
    <row r="137" spans="2:6" x14ac:dyDescent="0.2">
      <c r="B137" s="213" t="e">
        <f ca="1">H49-E133*sS/2*zZ_fus-E134*sS*tT_fus</f>
        <v>#N/A</v>
      </c>
      <c r="C137" s="214" t="e">
        <f ca="1">Alt_para-V_para*(H49-T_para)+E133*sS*Altitude_culmi/H49*zZ_fus-E134*sS/2*Altitude_culmi/H49*tT_fus</f>
        <v>#N/A</v>
      </c>
      <c r="E137" s="235" t="s">
        <v>173</v>
      </c>
      <c r="F137" s="236">
        <f ca="1">(H49-T_para)/H49</f>
        <v>0.92228979538936162</v>
      </c>
    </row>
    <row r="138" spans="2:6" x14ac:dyDescent="0.2">
      <c r="B138" s="215">
        <f ca="1">H49</f>
        <v>283.10310222742925</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t="e">
        <f ca="1">(T_balistique-T_satellite)/T_balistique</f>
        <v>#N/A</v>
      </c>
    </row>
    <row r="155" spans="2:6" x14ac:dyDescent="0.2">
      <c r="B155" s="215" t="b">
        <f>IF(Nb_sat="1 satellite",H51)</f>
        <v>0</v>
      </c>
      <c r="C155" s="216" t="b">
        <f>IF(Nb_sat="1 satellite",0)</f>
        <v>0</v>
      </c>
      <c r="E155" s="237" t="s">
        <v>174</v>
      </c>
      <c r="F155" s="238" t="e">
        <f ca="1">V_satellite*(T_balistique-T_satellite)/Alt_sat</f>
        <v>#N/A</v>
      </c>
    </row>
    <row r="157" spans="2:6" x14ac:dyDescent="0.2">
      <c r="B157" s="210" t="s">
        <v>2</v>
      </c>
      <c r="C157" s="228" t="s">
        <v>29</v>
      </c>
      <c r="D157" s="211" t="s">
        <v>3</v>
      </c>
    </row>
    <row r="158" spans="2:6" x14ac:dyDescent="0.2">
      <c r="B158" s="231">
        <f>T_para/4</f>
        <v>5.5</v>
      </c>
      <c r="C158" s="82">
        <f ca="1">Alt_para/2</f>
        <v>2090.5384461721228</v>
      </c>
      <c r="D158" s="214">
        <f ca="1">X_para/4</f>
        <v>506.35804577466371</v>
      </c>
    </row>
    <row r="159" spans="2:6" x14ac:dyDescent="0.2">
      <c r="B159" s="229" t="e">
        <f ca="1">Temps_culmi + (T_balistique-Temps_culmi)/2</f>
        <v>#N/A</v>
      </c>
      <c r="C159" s="230">
        <f ca="1">Altitude_culmi/2</f>
        <v>2135.4272754038516</v>
      </c>
      <c r="D159" s="216" t="e">
        <f ca="1">X_culmi+(Portee_balistique-X_culmi)*2/3</f>
        <v>#N/A</v>
      </c>
    </row>
    <row r="161" spans="2:6" x14ac:dyDescent="0.2">
      <c r="B161" s="210" t="s">
        <v>302</v>
      </c>
      <c r="C161" s="228" t="s">
        <v>301</v>
      </c>
      <c r="D161" s="422" t="s">
        <v>303</v>
      </c>
    </row>
    <row r="162" spans="2:6" x14ac:dyDescent="0.2">
      <c r="B162" s="231" t="e">
        <f ca="1">IF(AND(Altitude_culmi&gt;80, Altitude_culmi&lt;=350), 49, NA())</f>
        <v>#N/A</v>
      </c>
      <c r="C162" s="5">
        <v>0</v>
      </c>
      <c r="D162" s="82">
        <f t="shared" ref="D162:D177" ca="1" si="0">X_culmi+C162</f>
        <v>2276.6197711600475</v>
      </c>
      <c r="E162" s="422"/>
      <c r="F162" s="423" t="s">
        <v>303</v>
      </c>
    </row>
    <row r="163" spans="2:6" x14ac:dyDescent="0.2">
      <c r="B163" s="231" t="e">
        <f ca="1">IF(AND(Altitude_culmi&gt;80, Altitude_culmi&lt;=350), 49, NA())</f>
        <v>#N/A</v>
      </c>
      <c r="C163" s="5">
        <v>23</v>
      </c>
      <c r="D163" s="82">
        <f t="shared" ca="1" si="0"/>
        <v>2299.6197711600475</v>
      </c>
      <c r="E163" s="82"/>
      <c r="F163" s="214">
        <f t="shared" ref="F163:F178" ca="1" si="1">X_culmi-C162</f>
        <v>2276.6197711600475</v>
      </c>
    </row>
    <row r="164" spans="2:6" x14ac:dyDescent="0.2">
      <c r="B164" s="231" t="e">
        <f ca="1">IF(AND(Altitude_culmi&gt;80, Altitude_culmi&lt;=350), 43, NA())</f>
        <v>#N/A</v>
      </c>
      <c r="C164" s="5">
        <v>23</v>
      </c>
      <c r="D164" s="82">
        <f t="shared" ca="1" si="0"/>
        <v>2299.6197711600475</v>
      </c>
      <c r="E164" s="82"/>
      <c r="F164" s="214">
        <f t="shared" ca="1" si="1"/>
        <v>2253.6197711600475</v>
      </c>
    </row>
    <row r="165" spans="2:6" x14ac:dyDescent="0.2">
      <c r="B165" s="231" t="e">
        <f ca="1">IF(AND(Altitude_culmi&gt;80, Altitude_culmi&lt;=350), 43, NA())</f>
        <v>#N/A</v>
      </c>
      <c r="C165" s="5">
        <v>0</v>
      </c>
      <c r="D165" s="82">
        <f t="shared" ca="1" si="0"/>
        <v>2276.6197711600475</v>
      </c>
      <c r="E165" s="82"/>
      <c r="F165" s="214">
        <f t="shared" ca="1" si="1"/>
        <v>2253.6197711600475</v>
      </c>
    </row>
    <row r="166" spans="2:6" x14ac:dyDescent="0.2">
      <c r="B166" s="231" t="e">
        <f ca="1">IF(AND(Altitude_culmi&gt;80, Altitude_culmi&lt;=350), 43, NA())</f>
        <v>#N/A</v>
      </c>
      <c r="C166" s="5">
        <v>23</v>
      </c>
      <c r="D166" s="82">
        <f t="shared" ca="1" si="0"/>
        <v>2299.6197711600475</v>
      </c>
      <c r="E166" s="82"/>
      <c r="F166" s="214">
        <f t="shared" ca="1" si="1"/>
        <v>2276.6197711600475</v>
      </c>
    </row>
    <row r="167" spans="2:6" x14ac:dyDescent="0.2">
      <c r="B167" s="231" t="e">
        <f ca="1">IF(AND(Altitude_culmi&gt;80, Altitude_culmi&lt;=350), 0.5, NA())</f>
        <v>#N/A</v>
      </c>
      <c r="C167" s="5">
        <v>23</v>
      </c>
      <c r="D167" s="82">
        <f t="shared" ca="1" si="0"/>
        <v>2299.6197711600475</v>
      </c>
      <c r="E167" s="82"/>
      <c r="F167" s="214">
        <f t="shared" ca="1" si="1"/>
        <v>2253.6197711600475</v>
      </c>
    </row>
    <row r="168" spans="2:6" x14ac:dyDescent="0.2">
      <c r="B168" s="231" t="e">
        <f ca="1">IF(AND(Altitude_culmi&gt;80, Altitude_culmi&lt;=350), 0.5, NA())</f>
        <v>#N/A</v>
      </c>
      <c r="C168" s="5">
        <v>8</v>
      </c>
      <c r="D168" s="82">
        <f t="shared" ca="1" si="0"/>
        <v>2284.6197711600475</v>
      </c>
      <c r="E168" s="82"/>
      <c r="F168" s="214">
        <f t="shared" ca="1" si="1"/>
        <v>2253.6197711600475</v>
      </c>
    </row>
    <row r="169" spans="2:6" x14ac:dyDescent="0.2">
      <c r="B169" s="231" t="e">
        <f ca="1">IF(AND(Altitude_culmi&gt;80, Altitude_culmi&lt;=350), 27, NA())</f>
        <v>#N/A</v>
      </c>
      <c r="C169" s="5">
        <v>8</v>
      </c>
      <c r="D169" s="82">
        <f t="shared" ca="1" si="0"/>
        <v>2284.6197711600475</v>
      </c>
      <c r="E169" s="82"/>
      <c r="F169" s="214">
        <f t="shared" ca="1" si="1"/>
        <v>2268.6197711600475</v>
      </c>
    </row>
    <row r="170" spans="2:6" x14ac:dyDescent="0.2">
      <c r="B170" s="231" t="e">
        <f ca="1">IF(AND(Altitude_culmi&gt;80, Altitude_culmi&lt;=350), 27, NA())</f>
        <v>#N/A</v>
      </c>
      <c r="C170" s="5">
        <v>23</v>
      </c>
      <c r="D170" s="82">
        <f t="shared" ca="1" si="0"/>
        <v>2299.6197711600475</v>
      </c>
      <c r="E170" s="82"/>
      <c r="F170" s="214">
        <f t="shared" ca="1" si="1"/>
        <v>2268.6197711600475</v>
      </c>
    </row>
    <row r="171" spans="2:6" x14ac:dyDescent="0.2">
      <c r="B171" s="231" t="e">
        <f ca="1">IF(AND(Altitude_culmi&gt;80, Altitude_culmi&lt;=350), 27, NA())</f>
        <v>#N/A</v>
      </c>
      <c r="C171" s="5">
        <v>8</v>
      </c>
      <c r="D171" s="82">
        <f t="shared" ca="1" si="0"/>
        <v>2284.6197711600475</v>
      </c>
      <c r="E171" s="82"/>
      <c r="F171" s="214">
        <f t="shared" ca="1" si="1"/>
        <v>2253.6197711600475</v>
      </c>
    </row>
    <row r="172" spans="2:6" x14ac:dyDescent="0.2">
      <c r="B172" s="231" t="e">
        <f ca="1">IF(AND(Altitude_culmi&gt;80, Altitude_culmi&lt;=350), 29, NA())</f>
        <v>#N/A</v>
      </c>
      <c r="C172" s="5">
        <v>7.6</v>
      </c>
      <c r="D172" s="82">
        <f t="shared" ca="1" si="0"/>
        <v>2284.2197711600475</v>
      </c>
      <c r="E172" s="82"/>
      <c r="F172" s="214">
        <f t="shared" ca="1" si="1"/>
        <v>2268.6197711600475</v>
      </c>
    </row>
    <row r="173" spans="2:6" x14ac:dyDescent="0.2">
      <c r="B173" s="231" t="e">
        <f ca="1">IF(AND(Altitude_culmi&gt;80, Altitude_culmi&lt;=350), 31, NA())</f>
        <v>#N/A</v>
      </c>
      <c r="C173" s="5">
        <v>6.8</v>
      </c>
      <c r="D173" s="82">
        <f t="shared" ca="1" si="0"/>
        <v>2283.4197711600477</v>
      </c>
      <c r="E173" s="82"/>
      <c r="F173" s="214">
        <f t="shared" ca="1" si="1"/>
        <v>2269.0197711600476</v>
      </c>
    </row>
    <row r="174" spans="2:6" x14ac:dyDescent="0.2">
      <c r="B174" s="231" t="e">
        <f ca="1">IF(AND(Altitude_culmi&gt;80, Altitude_culmi&lt;=350), 32, NA())</f>
        <v>#N/A</v>
      </c>
      <c r="C174" s="5">
        <v>6</v>
      </c>
      <c r="D174" s="82">
        <f t="shared" ca="1" si="0"/>
        <v>2282.6197711600475</v>
      </c>
      <c r="E174" s="82"/>
      <c r="F174" s="214">
        <f t="shared" ca="1" si="1"/>
        <v>2269.8197711600474</v>
      </c>
    </row>
    <row r="175" spans="2:6" x14ac:dyDescent="0.2">
      <c r="B175" s="231" t="e">
        <f ca="1">IF(AND(Altitude_culmi&gt;80, Altitude_culmi&lt;=350), 33, NA())</f>
        <v>#N/A</v>
      </c>
      <c r="C175" s="5">
        <v>5</v>
      </c>
      <c r="D175" s="82">
        <f t="shared" ca="1" si="0"/>
        <v>2281.6197711600475</v>
      </c>
      <c r="E175" s="82"/>
      <c r="F175" s="214">
        <f t="shared" ca="1" si="1"/>
        <v>2270.6197711600475</v>
      </c>
    </row>
    <row r="176" spans="2:6" x14ac:dyDescent="0.2">
      <c r="B176" s="231" t="e">
        <f ca="1">IF(AND(Altitude_culmi&gt;80, Altitude_culmi&lt;=350), 34, NA())</f>
        <v>#N/A</v>
      </c>
      <c r="C176" s="5">
        <v>3.8</v>
      </c>
      <c r="D176" s="82">
        <f t="shared" ca="1" si="0"/>
        <v>2280.4197711600477</v>
      </c>
      <c r="E176" s="82"/>
      <c r="F176" s="214">
        <f t="shared" ca="1" si="1"/>
        <v>2271.6197711600475</v>
      </c>
    </row>
    <row r="177" spans="2:6" x14ac:dyDescent="0.2">
      <c r="B177" s="229" t="e">
        <f ca="1">IF(AND(Altitude_culmi&gt;80, Altitude_culmi&lt;=350), 35, NA())</f>
        <v>#N/A</v>
      </c>
      <c r="C177" s="421">
        <v>0</v>
      </c>
      <c r="D177" s="230">
        <f t="shared" ca="1" si="0"/>
        <v>2276.6197711600475</v>
      </c>
      <c r="E177" s="82"/>
      <c r="F177" s="214">
        <f t="shared" ca="1" si="1"/>
        <v>2272.8197711600474</v>
      </c>
    </row>
    <row r="178" spans="2:6" x14ac:dyDescent="0.2">
      <c r="E178" s="230"/>
      <c r="F178" s="216">
        <f t="shared" ca="1" si="1"/>
        <v>2276.6197711600475</v>
      </c>
    </row>
    <row r="179" spans="2:6" x14ac:dyDescent="0.2">
      <c r="B179" s="210" t="s">
        <v>304</v>
      </c>
      <c r="C179" s="228" t="s">
        <v>305</v>
      </c>
      <c r="D179" s="228" t="s">
        <v>306</v>
      </c>
    </row>
    <row r="180" spans="2:6" x14ac:dyDescent="0.2">
      <c r="B180" s="231">
        <f ca="1">IF(Altitude_culmi&gt;350, 324, NA())</f>
        <v>324</v>
      </c>
      <c r="C180" s="5">
        <v>0</v>
      </c>
      <c r="D180" s="82">
        <f t="shared" ref="D180:D200" ca="1" si="2">X_culmi+C180</f>
        <v>2276.6197711600475</v>
      </c>
      <c r="E180" s="228"/>
      <c r="F180" s="211" t="s">
        <v>306</v>
      </c>
    </row>
    <row r="181" spans="2:6" x14ac:dyDescent="0.2">
      <c r="B181" s="231">
        <f ca="1">IF(Altitude_culmi&gt;350, 300, NA())</f>
        <v>300</v>
      </c>
      <c r="C181" s="5">
        <v>0</v>
      </c>
      <c r="D181" s="82">
        <f t="shared" ca="1" si="2"/>
        <v>2276.6197711600475</v>
      </c>
      <c r="E181" s="82"/>
      <c r="F181" s="214">
        <f t="shared" ref="F181:F201" ca="1" si="3">X_culmi-C180</f>
        <v>2276.6197711600475</v>
      </c>
    </row>
    <row r="182" spans="2:6" x14ac:dyDescent="0.2">
      <c r="B182" s="231">
        <f ca="1">IF(Altitude_culmi&gt;350, 280, NA())</f>
        <v>280</v>
      </c>
      <c r="C182" s="5">
        <v>10</v>
      </c>
      <c r="D182" s="82">
        <f t="shared" ca="1" si="2"/>
        <v>2286.6197711600475</v>
      </c>
      <c r="E182" s="82"/>
      <c r="F182" s="214">
        <f t="shared" ca="1" si="3"/>
        <v>2276.6197711600475</v>
      </c>
    </row>
    <row r="183" spans="2:6" x14ac:dyDescent="0.2">
      <c r="B183" s="231">
        <f ca="1">IF(Altitude_culmi&gt;350, 280, NA())</f>
        <v>280</v>
      </c>
      <c r="C183" s="5">
        <v>0</v>
      </c>
      <c r="D183" s="82">
        <f t="shared" ca="1" si="2"/>
        <v>2276.6197711600475</v>
      </c>
      <c r="E183" s="82"/>
      <c r="F183" s="214">
        <f t="shared" ca="1" si="3"/>
        <v>2266.6197711600475</v>
      </c>
    </row>
    <row r="184" spans="2:6" x14ac:dyDescent="0.2">
      <c r="B184" s="231">
        <f ca="1">IF(Altitude_culmi&gt;350, 280, NA())</f>
        <v>280</v>
      </c>
      <c r="C184" s="5">
        <v>10</v>
      </c>
      <c r="D184" s="82">
        <f t="shared" ca="1" si="2"/>
        <v>2286.6197711600475</v>
      </c>
      <c r="E184" s="82"/>
      <c r="F184" s="214">
        <f t="shared" ca="1" si="3"/>
        <v>2276.6197711600475</v>
      </c>
    </row>
    <row r="185" spans="2:6" x14ac:dyDescent="0.2">
      <c r="B185" s="231">
        <f ca="1">IF(Altitude_culmi&gt;350, 200, NA())</f>
        <v>200</v>
      </c>
      <c r="C185" s="5">
        <v>13</v>
      </c>
      <c r="D185" s="82">
        <f t="shared" ca="1" si="2"/>
        <v>2289.6197711600475</v>
      </c>
      <c r="E185" s="82"/>
      <c r="F185" s="214">
        <f t="shared" ca="1" si="3"/>
        <v>2266.6197711600475</v>
      </c>
    </row>
    <row r="186" spans="2:6" x14ac:dyDescent="0.2">
      <c r="B186" s="231">
        <f ca="1">IF(Altitude_culmi&gt;350, 160, NA())</f>
        <v>160</v>
      </c>
      <c r="C186" s="5">
        <v>17</v>
      </c>
      <c r="D186" s="82">
        <f t="shared" ca="1" si="2"/>
        <v>2293.6197711600475</v>
      </c>
      <c r="E186" s="82"/>
      <c r="F186" s="214">
        <f t="shared" ca="1" si="3"/>
        <v>2263.6197711600475</v>
      </c>
    </row>
    <row r="187" spans="2:6" x14ac:dyDescent="0.2">
      <c r="B187" s="231">
        <f ca="1">IF(Altitude_culmi&gt;350, 115, NA())</f>
        <v>115</v>
      </c>
      <c r="C187" s="5">
        <v>20</v>
      </c>
      <c r="D187" s="82">
        <f t="shared" ca="1" si="2"/>
        <v>2296.6197711600475</v>
      </c>
      <c r="E187" s="82"/>
      <c r="F187" s="214">
        <f t="shared" ca="1" si="3"/>
        <v>2259.6197711600475</v>
      </c>
    </row>
    <row r="188" spans="2:6" x14ac:dyDescent="0.2">
      <c r="B188" s="231">
        <f ca="1">IF(Altitude_culmi&gt;350, 90, NA())</f>
        <v>90</v>
      </c>
      <c r="C188" s="5">
        <v>25</v>
      </c>
      <c r="D188" s="82">
        <f t="shared" ca="1" si="2"/>
        <v>2301.6197711600475</v>
      </c>
      <c r="E188" s="82"/>
      <c r="F188" s="214">
        <f t="shared" ca="1" si="3"/>
        <v>2256.6197711600475</v>
      </c>
    </row>
    <row r="189" spans="2:6" x14ac:dyDescent="0.2">
      <c r="B189" s="231">
        <f ca="1">IF(Altitude_culmi&gt;350, 57, NA())</f>
        <v>57</v>
      </c>
      <c r="C189" s="5">
        <v>30</v>
      </c>
      <c r="D189" s="82">
        <f t="shared" ca="1" si="2"/>
        <v>2306.6197711600475</v>
      </c>
      <c r="E189" s="82"/>
      <c r="F189" s="214">
        <f t="shared" ca="1" si="3"/>
        <v>2251.6197711600475</v>
      </c>
    </row>
    <row r="190" spans="2:6" x14ac:dyDescent="0.2">
      <c r="B190" s="231">
        <f ca="1">IF(Altitude_culmi&gt;350, 40, NA())</f>
        <v>40</v>
      </c>
      <c r="C190" s="5">
        <v>36</v>
      </c>
      <c r="D190" s="82">
        <f t="shared" ca="1" si="2"/>
        <v>2312.6197711600475</v>
      </c>
      <c r="E190" s="82"/>
      <c r="F190" s="214">
        <f t="shared" ca="1" si="3"/>
        <v>2246.6197711600475</v>
      </c>
    </row>
    <row r="191" spans="2:6" x14ac:dyDescent="0.2">
      <c r="B191" s="231">
        <f ca="1">IF(Altitude_culmi&gt;350, 20, NA())</f>
        <v>20</v>
      </c>
      <c r="C191" s="5">
        <v>48</v>
      </c>
      <c r="D191" s="82">
        <f t="shared" ca="1" si="2"/>
        <v>2324.6197711600475</v>
      </c>
      <c r="E191" s="82"/>
      <c r="F191" s="214">
        <f t="shared" ca="1" si="3"/>
        <v>2240.6197711600475</v>
      </c>
    </row>
    <row r="192" spans="2:6" x14ac:dyDescent="0.2">
      <c r="B192" s="231">
        <f ca="1">IF(Altitude_culmi&gt;350, 0.5, NA())</f>
        <v>0.5</v>
      </c>
      <c r="C192" s="5">
        <v>62</v>
      </c>
      <c r="D192" s="82">
        <f t="shared" ca="1" si="2"/>
        <v>2338.6197711600475</v>
      </c>
      <c r="E192" s="82"/>
      <c r="F192" s="214">
        <f t="shared" ca="1" si="3"/>
        <v>2228.6197711600475</v>
      </c>
    </row>
    <row r="193" spans="2:6" x14ac:dyDescent="0.2">
      <c r="B193" s="231">
        <f ca="1">IF(Altitude_culmi&gt;350, 0.5, NA())</f>
        <v>0.5</v>
      </c>
      <c r="C193" s="5">
        <v>37</v>
      </c>
      <c r="D193" s="82">
        <f t="shared" ca="1" si="2"/>
        <v>2313.6197711600475</v>
      </c>
      <c r="E193" s="82"/>
      <c r="F193" s="214">
        <f t="shared" ca="1" si="3"/>
        <v>2214.6197711600475</v>
      </c>
    </row>
    <row r="194" spans="2:6" x14ac:dyDescent="0.2">
      <c r="B194" s="231">
        <f ca="1">IF(Altitude_culmi&gt;350, 15, NA())</f>
        <v>15</v>
      </c>
      <c r="C194" s="5">
        <v>30</v>
      </c>
      <c r="D194" s="82">
        <f t="shared" ca="1" si="2"/>
        <v>2306.6197711600475</v>
      </c>
      <c r="E194" s="82"/>
      <c r="F194" s="214">
        <f t="shared" ca="1" si="3"/>
        <v>2239.6197711600475</v>
      </c>
    </row>
    <row r="195" spans="2:6" x14ac:dyDescent="0.2">
      <c r="B195" s="231">
        <f ca="1">IF(Altitude_culmi&gt;350, 30, NA())</f>
        <v>30</v>
      </c>
      <c r="C195" s="5">
        <v>15</v>
      </c>
      <c r="D195" s="82">
        <f t="shared" ca="1" si="2"/>
        <v>2291.6197711600475</v>
      </c>
      <c r="E195" s="82"/>
      <c r="F195" s="214">
        <f t="shared" ca="1" si="3"/>
        <v>2246.6197711600475</v>
      </c>
    </row>
    <row r="196" spans="2:6" x14ac:dyDescent="0.2">
      <c r="B196" s="231">
        <f ca="1">IF(Altitude_culmi&gt;350, 37, NA())</f>
        <v>37</v>
      </c>
      <c r="C196" s="5">
        <v>0</v>
      </c>
      <c r="D196" s="82">
        <f t="shared" ca="1" si="2"/>
        <v>2276.6197711600475</v>
      </c>
      <c r="E196" s="82"/>
      <c r="F196" s="214">
        <f t="shared" ca="1" si="3"/>
        <v>2261.6197711600475</v>
      </c>
    </row>
    <row r="197" spans="2:6" x14ac:dyDescent="0.2">
      <c r="B197" s="231">
        <f ca="1">IF(Altitude_culmi&gt;350, 67, NA())</f>
        <v>67</v>
      </c>
      <c r="C197" s="5">
        <v>0</v>
      </c>
      <c r="D197" s="82">
        <f t="shared" ca="1" si="2"/>
        <v>2276.6197711600475</v>
      </c>
      <c r="E197" s="82"/>
      <c r="F197" s="214">
        <f t="shared" ca="1" si="3"/>
        <v>2276.6197711600475</v>
      </c>
    </row>
    <row r="198" spans="2:6" x14ac:dyDescent="0.2">
      <c r="B198" s="231">
        <f ca="1">IF(Altitude_culmi&gt;350, 67, NA())</f>
        <v>67</v>
      </c>
      <c r="C198" s="5">
        <v>17</v>
      </c>
      <c r="D198" s="82">
        <f t="shared" ca="1" si="2"/>
        <v>2293.6197711600475</v>
      </c>
      <c r="E198" s="82"/>
      <c r="F198" s="214">
        <f t="shared" ca="1" si="3"/>
        <v>2276.6197711600475</v>
      </c>
    </row>
    <row r="199" spans="2:6" x14ac:dyDescent="0.2">
      <c r="B199" s="231">
        <f ca="1">IF(Altitude_culmi&gt;350, 100, NA())</f>
        <v>100</v>
      </c>
      <c r="C199" s="5">
        <v>11</v>
      </c>
      <c r="D199" s="82">
        <f t="shared" ca="1" si="2"/>
        <v>2287.6197711600475</v>
      </c>
      <c r="E199" s="82"/>
      <c r="F199" s="214">
        <f t="shared" ca="1" si="3"/>
        <v>2259.6197711600475</v>
      </c>
    </row>
    <row r="200" spans="2:6" x14ac:dyDescent="0.2">
      <c r="B200" s="229">
        <f ca="1">IF(Altitude_culmi&gt;350, 100, NA())</f>
        <v>100</v>
      </c>
      <c r="C200" s="421">
        <v>0</v>
      </c>
      <c r="D200" s="230">
        <f t="shared" ca="1" si="2"/>
        <v>2276.6197711600475</v>
      </c>
      <c r="E200" s="82"/>
      <c r="F200" s="214">
        <f t="shared" ca="1" si="3"/>
        <v>2265.6197711600475</v>
      </c>
    </row>
    <row r="201" spans="2:6" x14ac:dyDescent="0.2">
      <c r="E201" s="230"/>
      <c r="F201" s="216">
        <f t="shared" ca="1" si="3"/>
        <v>2276.6197711600475</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F51:G51"/>
    <mergeCell ref="F42:G42"/>
    <mergeCell ref="F43:G43"/>
    <mergeCell ref="F44:G44"/>
    <mergeCell ref="F45:G45"/>
    <mergeCell ref="F50:G50"/>
    <mergeCell ref="F46:G46"/>
    <mergeCell ref="F47:G47"/>
    <mergeCell ref="F49:G49"/>
    <mergeCell ref="F48:G48"/>
    <mergeCell ref="C16:D16"/>
    <mergeCell ref="C11:D11"/>
    <mergeCell ref="C20:D20"/>
    <mergeCell ref="C21:D21"/>
    <mergeCell ref="C12:D12"/>
    <mergeCell ref="C14:D14"/>
    <mergeCell ref="C15:D15"/>
    <mergeCell ref="C19:D19"/>
    <mergeCell ref="C23:D23"/>
    <mergeCell ref="C18:D18"/>
    <mergeCell ref="F24:G24"/>
    <mergeCell ref="F28:G28"/>
    <mergeCell ref="F27:G27"/>
    <mergeCell ref="F25:G25"/>
    <mergeCell ref="F26:G26"/>
    <mergeCell ref="H35:I35"/>
    <mergeCell ref="H34:I34"/>
    <mergeCell ref="F29:G29"/>
    <mergeCell ref="H33:I33"/>
    <mergeCell ref="A40:D40"/>
    <mergeCell ref="H36:I36"/>
    <mergeCell ref="F36:G36"/>
    <mergeCell ref="F35:G35"/>
    <mergeCell ref="F34:G34"/>
    <mergeCell ref="F40:G40"/>
    <mergeCell ref="C10:D10"/>
    <mergeCell ref="C5:D5"/>
    <mergeCell ref="C2:D3"/>
    <mergeCell ref="C7:D7"/>
    <mergeCell ref="C8:D8"/>
    <mergeCell ref="C9:D9"/>
    <mergeCell ref="C6:D6"/>
    <mergeCell ref="C4:D4"/>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disablePrompts="1"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ColWidth="11.42578125"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zoomScale="80" zoomScaleNormal="80" workbookViewId="0">
      <selection activeCell="D2" sqref="D2"/>
    </sheetView>
  </sheetViews>
  <sheetFormatPr baseColWidth="10" defaultColWidth="11.42578125"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Pro98-6G Green</v>
      </c>
      <c r="B2" s="352">
        <f>VLOOKUP(A2,A26:B314,2,FALSE)</f>
        <v>294</v>
      </c>
      <c r="C2" s="363" t="s">
        <v>115</v>
      </c>
      <c r="D2" s="353">
        <f ca="1">INDIRECT(ADDRESS(B2,4))</f>
        <v>14273.976008499998</v>
      </c>
      <c r="E2" s="363" t="s">
        <v>114</v>
      </c>
      <c r="F2" s="354">
        <f ca="1">INDIRECT(ADDRESS(B2,6))</f>
        <v>169.50645688990159</v>
      </c>
      <c r="G2" s="363" t="s">
        <v>56</v>
      </c>
      <c r="H2" s="355">
        <f ca="1">INDIRECT(ADDRESS(B2,8))</f>
        <v>13.247999999999999</v>
      </c>
      <c r="I2" s="363" t="s">
        <v>271</v>
      </c>
      <c r="J2" s="356">
        <f ca="1">INDIRECT(ADDRESS(B2,10))</f>
        <v>8.5839999999999996</v>
      </c>
      <c r="K2" s="363" t="s">
        <v>58</v>
      </c>
      <c r="L2" s="355">
        <f ca="1">INDIRECT(ADDRESS(B2,12))</f>
        <v>4.6639999999999997</v>
      </c>
      <c r="M2" s="363" t="s">
        <v>57</v>
      </c>
      <c r="N2" s="357">
        <f ca="1">INDIRECT(ADDRESS(B2,14))</f>
        <v>505</v>
      </c>
      <c r="O2" s="363" t="s">
        <v>59</v>
      </c>
      <c r="P2" s="357">
        <f ca="1">INDIRECT(ADDRESS(B2,16))</f>
        <v>505</v>
      </c>
      <c r="Q2" s="363" t="s">
        <v>60</v>
      </c>
      <c r="R2" s="357">
        <f ca="1">INDIRECT(ADDRESS(B2,18))</f>
        <v>1010</v>
      </c>
      <c r="S2" s="363" t="s">
        <v>61</v>
      </c>
      <c r="T2" s="357">
        <f ca="1">INDIRECT(ADDRESS(B2,20))</f>
        <v>98</v>
      </c>
      <c r="U2" s="363" t="s">
        <v>54</v>
      </c>
      <c r="V2" s="358" t="str">
        <f ca="1">INDIRECT(ADDRESS(B2,22))</f>
        <v>Fusex</v>
      </c>
      <c r="W2" s="463" t="s">
        <v>392</v>
      </c>
      <c r="X2" s="464">
        <f ca="1">INDIRECT(ADDRESS(B2,24))</f>
        <v>0</v>
      </c>
      <c r="Y2" s="463" t="s">
        <v>391</v>
      </c>
      <c r="Z2" s="358">
        <f ca="1">INDIRECT(ADDRESS(B2,26))</f>
        <v>0</v>
      </c>
    </row>
    <row r="3" spans="1:26" x14ac:dyDescent="0.2">
      <c r="A3" s="362" t="str">
        <f>IF(Lang="Français","Temps (en s)","Time (s)")</f>
        <v>Temps (en s)</v>
      </c>
      <c r="B3" s="364">
        <f t="shared" ref="B3:Y3" ca="1" si="0">INDIRECT(ADDRESS($B2+1,COLUMN(B3)))</f>
        <v>0</v>
      </c>
      <c r="C3" s="365">
        <f t="shared" ca="1" si="0"/>
        <v>0.04</v>
      </c>
      <c r="D3" s="365">
        <f t="shared" ca="1" si="0"/>
        <v>0.08</v>
      </c>
      <c r="E3" s="365">
        <f t="shared" ca="1" si="0"/>
        <v>0.20100000000000001</v>
      </c>
      <c r="F3" s="365">
        <f t="shared" ca="1" si="0"/>
        <v>0.44700000000000001</v>
      </c>
      <c r="G3" s="365">
        <f t="shared" ca="1" si="0"/>
        <v>0.67800000000000005</v>
      </c>
      <c r="H3" s="365">
        <f t="shared" ca="1" si="0"/>
        <v>0.75800000000000001</v>
      </c>
      <c r="I3" s="365">
        <f t="shared" ca="1" si="0"/>
        <v>0.85299999999999998</v>
      </c>
      <c r="J3" s="365">
        <f t="shared" ca="1" si="0"/>
        <v>2.4249999999999998</v>
      </c>
      <c r="K3" s="365">
        <f t="shared" ca="1" si="0"/>
        <v>2.52</v>
      </c>
      <c r="L3" s="365">
        <f t="shared" ca="1" si="0"/>
        <v>2.7610000000000001</v>
      </c>
      <c r="M3" s="365">
        <f t="shared" ca="1" si="0"/>
        <v>3.4340000000000002</v>
      </c>
      <c r="N3" s="365">
        <f t="shared" ca="1" si="0"/>
        <v>3.7149999999999999</v>
      </c>
      <c r="O3" s="365">
        <f t="shared" ca="1" si="0"/>
        <v>4.077</v>
      </c>
      <c r="P3" s="365">
        <f t="shared" ca="1" si="0"/>
        <v>4.96</v>
      </c>
      <c r="Q3" s="365">
        <f t="shared" ca="1" si="0"/>
        <v>5.492</v>
      </c>
      <c r="R3" s="365">
        <f t="shared" ca="1" si="0"/>
        <v>6.1050000000000004</v>
      </c>
      <c r="S3" s="365">
        <f t="shared" ca="1" si="0"/>
        <v>6.4459999999999997</v>
      </c>
      <c r="T3" s="365">
        <f t="shared" ca="1" si="0"/>
        <v>6.6470000000000002</v>
      </c>
      <c r="U3" s="365">
        <f t="shared" ca="1" si="0"/>
        <v>7.0739999999999998</v>
      </c>
      <c r="V3" s="365">
        <f t="shared" ca="1" si="0"/>
        <v>7.2389999999999999</v>
      </c>
      <c r="W3" s="365">
        <f t="shared" ca="1" si="0"/>
        <v>7.2539999999999996</v>
      </c>
      <c r="X3" s="365">
        <f ca="1">INDIRECT(ADDRESS($B2+1,COLUMN(X3)))</f>
        <v>8</v>
      </c>
      <c r="Y3" s="366">
        <f t="shared" ca="1" si="0"/>
        <v>1000</v>
      </c>
    </row>
    <row r="4" spans="1:26" ht="13.5" thickBot="1" x14ac:dyDescent="0.25">
      <c r="A4" s="379" t="str">
        <f>IF(Lang="Français","Poussée (en N)","Thrust (N)")</f>
        <v>Poussée (en N)</v>
      </c>
      <c r="B4" s="367">
        <f t="shared" ref="B4:Y4" ca="1" si="1">INDIRECT(ADDRESS($B2+2,COLUMN(B3)))</f>
        <v>0</v>
      </c>
      <c r="C4" s="368">
        <f t="shared" ca="1" si="1"/>
        <v>1382.46</v>
      </c>
      <c r="D4" s="368">
        <f t="shared" ca="1" si="1"/>
        <v>1699.1469999999999</v>
      </c>
      <c r="E4" s="368">
        <f t="shared" ca="1" si="1"/>
        <v>1781.364</v>
      </c>
      <c r="F4" s="368">
        <f t="shared" ca="1" si="1"/>
        <v>1793.5440000000001</v>
      </c>
      <c r="G4" s="368">
        <f t="shared" ca="1" si="1"/>
        <v>1820.95</v>
      </c>
      <c r="H4" s="368">
        <f t="shared" ca="1" si="1"/>
        <v>1927.527</v>
      </c>
      <c r="I4" s="368">
        <f t="shared" ca="1" si="1"/>
        <v>1842.2660000000001</v>
      </c>
      <c r="J4" s="368">
        <f t="shared" ca="1" si="1"/>
        <v>2088.9160000000002</v>
      </c>
      <c r="K4" s="368">
        <f t="shared" ca="1" si="1"/>
        <v>2180.268</v>
      </c>
      <c r="L4" s="368">
        <f t="shared" ca="1" si="1"/>
        <v>2198.538</v>
      </c>
      <c r="M4" s="368">
        <f t="shared" ca="1" si="1"/>
        <v>2213.7640000000001</v>
      </c>
      <c r="N4" s="368">
        <f t="shared" ca="1" si="1"/>
        <v>2268.5749999999998</v>
      </c>
      <c r="O4" s="368">
        <f t="shared" ca="1" si="1"/>
        <v>2299.0259999999998</v>
      </c>
      <c r="P4" s="368">
        <f t="shared" ca="1" si="1"/>
        <v>2238.1239999999998</v>
      </c>
      <c r="Q4" s="368">
        <f t="shared" ca="1" si="1"/>
        <v>2161.998</v>
      </c>
      <c r="R4" s="368">
        <f t="shared" ca="1" si="1"/>
        <v>2024.97</v>
      </c>
      <c r="S4" s="368">
        <f t="shared" ca="1" si="1"/>
        <v>1878.806</v>
      </c>
      <c r="T4" s="368">
        <f t="shared" ca="1" si="1"/>
        <v>1668.6969999999999</v>
      </c>
      <c r="U4" s="368">
        <f t="shared" ca="1" si="1"/>
        <v>602.923</v>
      </c>
      <c r="V4" s="368">
        <f t="shared" ca="1" si="1"/>
        <v>140.07300000000001</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274</v>
      </c>
    </row>
    <row r="26" spans="1:25" ht="13.5" thickBot="1" x14ac:dyDescent="0.25">
      <c r="A26" s="361" t="s">
        <v>307</v>
      </c>
      <c r="B26" s="359">
        <f>ROW(A26)</f>
        <v>26</v>
      </c>
      <c r="C26" s="363" t="s">
        <v>115</v>
      </c>
      <c r="D26" s="353">
        <f>SUM(B29:Y29)</f>
        <v>9.8449999999999989</v>
      </c>
      <c r="E26" s="363" t="s">
        <v>114</v>
      </c>
      <c r="F26" s="399">
        <f>D26/g/J26</f>
        <v>3.3452259599048584</v>
      </c>
      <c r="G26" s="363" t="s">
        <v>56</v>
      </c>
      <c r="H26" s="64">
        <v>0.3</v>
      </c>
      <c r="I26" s="363" t="s">
        <v>269</v>
      </c>
      <c r="J26" s="355">
        <f>H26-L26</f>
        <v>0.3</v>
      </c>
      <c r="K26" s="363" t="s">
        <v>270</v>
      </c>
      <c r="L26" s="64">
        <v>0</v>
      </c>
      <c r="M26" s="363" t="s">
        <v>57</v>
      </c>
      <c r="N26" s="65">
        <f>0.2*R26</f>
        <v>60</v>
      </c>
      <c r="O26" s="363" t="s">
        <v>59</v>
      </c>
      <c r="P26" s="65">
        <v>150</v>
      </c>
      <c r="Q26" s="363" t="s">
        <v>60</v>
      </c>
      <c r="R26" s="65">
        <v>300</v>
      </c>
      <c r="S26" s="363" t="s">
        <v>61</v>
      </c>
      <c r="T26" s="65">
        <v>90</v>
      </c>
      <c r="U26" s="363" t="s">
        <v>54</v>
      </c>
      <c r="V26" s="66" t="s">
        <v>274</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308</v>
      </c>
      <c r="B31" s="359">
        <f>ROW(A31)</f>
        <v>31</v>
      </c>
      <c r="C31" s="363" t="s">
        <v>115</v>
      </c>
      <c r="D31" s="353">
        <f>SUM(B34:Y34)</f>
        <v>13.814500000000002</v>
      </c>
      <c r="E31" s="363" t="s">
        <v>114</v>
      </c>
      <c r="F31" s="399">
        <f>D31/g/J31</f>
        <v>3.1293464718541175</v>
      </c>
      <c r="G31" s="363" t="s">
        <v>56</v>
      </c>
      <c r="H31" s="64">
        <v>0.45</v>
      </c>
      <c r="I31" s="363" t="s">
        <v>269</v>
      </c>
      <c r="J31" s="355">
        <f>H31-L31</f>
        <v>0.45</v>
      </c>
      <c r="K31" s="363" t="s">
        <v>270</v>
      </c>
      <c r="L31" s="64">
        <v>0</v>
      </c>
      <c r="M31" s="363" t="s">
        <v>57</v>
      </c>
      <c r="N31" s="65">
        <f>0.3*R31</f>
        <v>90</v>
      </c>
      <c r="O31" s="363" t="s">
        <v>59</v>
      </c>
      <c r="P31" s="65">
        <v>150</v>
      </c>
      <c r="Q31" s="363" t="s">
        <v>60</v>
      </c>
      <c r="R31" s="65">
        <v>300</v>
      </c>
      <c r="S31" s="363" t="s">
        <v>61</v>
      </c>
      <c r="T31" s="65">
        <v>90</v>
      </c>
      <c r="U31" s="363" t="s">
        <v>54</v>
      </c>
      <c r="V31" s="66" t="s">
        <v>274</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309</v>
      </c>
      <c r="B36" s="359">
        <f>ROW(A36)</f>
        <v>36</v>
      </c>
      <c r="C36" s="363" t="s">
        <v>115</v>
      </c>
      <c r="D36" s="353">
        <f>SUM(B39:Y39)</f>
        <v>17.144499999999997</v>
      </c>
      <c r="E36" s="363" t="s">
        <v>114</v>
      </c>
      <c r="F36" s="399">
        <f>D36/g/J36</f>
        <v>2.9127590893645934</v>
      </c>
      <c r="G36" s="363" t="s">
        <v>56</v>
      </c>
      <c r="H36" s="64">
        <v>0.6</v>
      </c>
      <c r="I36" s="363" t="s">
        <v>269</v>
      </c>
      <c r="J36" s="355">
        <f>H36-L36</f>
        <v>0.6</v>
      </c>
      <c r="K36" s="363" t="s">
        <v>270</v>
      </c>
      <c r="L36" s="64">
        <v>0</v>
      </c>
      <c r="M36" s="363" t="s">
        <v>57</v>
      </c>
      <c r="N36" s="65">
        <f>0.4*R36</f>
        <v>120</v>
      </c>
      <c r="O36" s="363" t="s">
        <v>59</v>
      </c>
      <c r="P36" s="65">
        <v>150</v>
      </c>
      <c r="Q36" s="363" t="s">
        <v>60</v>
      </c>
      <c r="R36" s="65">
        <v>300</v>
      </c>
      <c r="S36" s="363" t="s">
        <v>61</v>
      </c>
      <c r="T36" s="65">
        <v>90</v>
      </c>
      <c r="U36" s="363" t="s">
        <v>54</v>
      </c>
      <c r="V36" s="66" t="s">
        <v>274</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310</v>
      </c>
      <c r="B41" s="359">
        <f>ROW(A41)</f>
        <v>41</v>
      </c>
      <c r="C41" s="363" t="s">
        <v>115</v>
      </c>
      <c r="D41" s="353">
        <f>SUM(B44:Y44)</f>
        <v>19.415000000000003</v>
      </c>
      <c r="E41" s="363" t="s">
        <v>114</v>
      </c>
      <c r="F41" s="399">
        <f>D41/g/J41</f>
        <v>2.6388039415562354</v>
      </c>
      <c r="G41" s="363" t="s">
        <v>56</v>
      </c>
      <c r="H41" s="64">
        <v>0.75</v>
      </c>
      <c r="I41" s="363" t="s">
        <v>269</v>
      </c>
      <c r="J41" s="355">
        <f>H41-L41</f>
        <v>0.75</v>
      </c>
      <c r="K41" s="363" t="s">
        <v>270</v>
      </c>
      <c r="L41" s="64">
        <v>0</v>
      </c>
      <c r="M41" s="363" t="s">
        <v>57</v>
      </c>
      <c r="N41" s="65">
        <f>0.5*R41</f>
        <v>150</v>
      </c>
      <c r="O41" s="363" t="s">
        <v>59</v>
      </c>
      <c r="P41" s="65">
        <v>150</v>
      </c>
      <c r="Q41" s="363" t="s">
        <v>60</v>
      </c>
      <c r="R41" s="65">
        <v>300</v>
      </c>
      <c r="S41" s="363" t="s">
        <v>61</v>
      </c>
      <c r="T41" s="65">
        <v>90</v>
      </c>
      <c r="U41" s="363" t="s">
        <v>54</v>
      </c>
      <c r="V41" s="66" t="s">
        <v>274</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275</v>
      </c>
      <c r="B46" s="359">
        <f>ROW(A46)</f>
        <v>46</v>
      </c>
      <c r="C46" s="363" t="s">
        <v>115</v>
      </c>
      <c r="D46" s="353">
        <f>SUM(B49:Y49)</f>
        <v>12.8695</v>
      </c>
      <c r="E46" s="363" t="s">
        <v>114</v>
      </c>
      <c r="F46" s="399">
        <f>D46/g/J46</f>
        <v>3.2796890927624869</v>
      </c>
      <c r="G46" s="363" t="s">
        <v>56</v>
      </c>
      <c r="H46" s="64">
        <v>0.5</v>
      </c>
      <c r="I46" s="363" t="s">
        <v>269</v>
      </c>
      <c r="J46" s="355">
        <f>H46-L46</f>
        <v>0.4</v>
      </c>
      <c r="K46" s="363" t="s">
        <v>270</v>
      </c>
      <c r="L46" s="64">
        <v>0.1</v>
      </c>
      <c r="M46" s="363" t="s">
        <v>57</v>
      </c>
      <c r="N46" s="65">
        <f>0.2*R46</f>
        <v>60</v>
      </c>
      <c r="O46" s="363" t="s">
        <v>59</v>
      </c>
      <c r="P46" s="65">
        <v>150</v>
      </c>
      <c r="Q46" s="363" t="s">
        <v>60</v>
      </c>
      <c r="R46" s="65">
        <v>300</v>
      </c>
      <c r="S46" s="363" t="s">
        <v>61</v>
      </c>
      <c r="T46" s="65">
        <v>98</v>
      </c>
      <c r="U46" s="363" t="s">
        <v>54</v>
      </c>
      <c r="V46" s="66" t="s">
        <v>274</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276</v>
      </c>
      <c r="B51" s="359">
        <f>ROW(A51)</f>
        <v>51</v>
      </c>
      <c r="C51" s="363" t="s">
        <v>115</v>
      </c>
      <c r="D51" s="353">
        <f>SUM(B54:Y54)</f>
        <v>18.123500000000003</v>
      </c>
      <c r="E51" s="363" t="s">
        <v>114</v>
      </c>
      <c r="F51" s="399">
        <f>D51/g/J51</f>
        <v>3.0790859667006463</v>
      </c>
      <c r="G51" s="363" t="s">
        <v>56</v>
      </c>
      <c r="H51" s="64">
        <v>0.7</v>
      </c>
      <c r="I51" s="363" t="s">
        <v>269</v>
      </c>
      <c r="J51" s="355">
        <f>H51-L51</f>
        <v>0.6</v>
      </c>
      <c r="K51" s="363" t="s">
        <v>270</v>
      </c>
      <c r="L51" s="64">
        <v>0.1</v>
      </c>
      <c r="M51" s="363" t="s">
        <v>57</v>
      </c>
      <c r="N51" s="65">
        <f>0.3*R51</f>
        <v>90</v>
      </c>
      <c r="O51" s="363" t="s">
        <v>59</v>
      </c>
      <c r="P51" s="65">
        <v>150</v>
      </c>
      <c r="Q51" s="363" t="s">
        <v>60</v>
      </c>
      <c r="R51" s="65">
        <v>300</v>
      </c>
      <c r="S51" s="363" t="s">
        <v>61</v>
      </c>
      <c r="T51" s="65">
        <v>98</v>
      </c>
      <c r="U51" s="363" t="s">
        <v>54</v>
      </c>
      <c r="V51" s="66" t="s">
        <v>274</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277</v>
      </c>
      <c r="B56" s="359">
        <f>ROW(A56)</f>
        <v>56</v>
      </c>
      <c r="C56" s="363" t="s">
        <v>115</v>
      </c>
      <c r="D56" s="353">
        <f>SUM(B59:Y59)</f>
        <v>22.610000000000003</v>
      </c>
      <c r="E56" s="363" t="s">
        <v>114</v>
      </c>
      <c r="F56" s="399">
        <f>D56/g/J56</f>
        <v>2.88098878695209</v>
      </c>
      <c r="G56" s="363" t="s">
        <v>56</v>
      </c>
      <c r="H56" s="64">
        <v>0.9</v>
      </c>
      <c r="I56" s="363" t="s">
        <v>269</v>
      </c>
      <c r="J56" s="355">
        <f>H56-L56</f>
        <v>0.8</v>
      </c>
      <c r="K56" s="363" t="s">
        <v>270</v>
      </c>
      <c r="L56" s="64">
        <v>0.1</v>
      </c>
      <c r="M56" s="363" t="s">
        <v>57</v>
      </c>
      <c r="N56" s="65">
        <f>0.4*R56</f>
        <v>120</v>
      </c>
      <c r="O56" s="363" t="s">
        <v>59</v>
      </c>
      <c r="P56" s="65">
        <v>150</v>
      </c>
      <c r="Q56" s="363" t="s">
        <v>60</v>
      </c>
      <c r="R56" s="65">
        <v>300</v>
      </c>
      <c r="S56" s="363" t="s">
        <v>61</v>
      </c>
      <c r="T56" s="65">
        <v>98</v>
      </c>
      <c r="U56" s="363" t="s">
        <v>54</v>
      </c>
      <c r="V56" s="66" t="s">
        <v>274</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278</v>
      </c>
      <c r="B61" s="359">
        <f>ROW(A61)</f>
        <v>61</v>
      </c>
      <c r="C61" s="363" t="s">
        <v>115</v>
      </c>
      <c r="D61" s="353">
        <f>SUM(B64:Y64)</f>
        <v>25.874000000000006</v>
      </c>
      <c r="E61" s="363" t="s">
        <v>114</v>
      </c>
      <c r="F61" s="399">
        <f>D61/g/J61</f>
        <v>2.6375127420998985</v>
      </c>
      <c r="G61" s="363" t="s">
        <v>56</v>
      </c>
      <c r="H61" s="64">
        <v>1.1000000000000001</v>
      </c>
      <c r="I61" s="363" t="s">
        <v>269</v>
      </c>
      <c r="J61" s="355">
        <f>H61-L61</f>
        <v>1</v>
      </c>
      <c r="K61" s="363" t="s">
        <v>270</v>
      </c>
      <c r="L61" s="64">
        <v>0.1</v>
      </c>
      <c r="M61" s="363" t="s">
        <v>57</v>
      </c>
      <c r="N61" s="65">
        <f>0.5*R61</f>
        <v>150</v>
      </c>
      <c r="O61" s="363" t="s">
        <v>59</v>
      </c>
      <c r="P61" s="65">
        <v>150</v>
      </c>
      <c r="Q61" s="363" t="s">
        <v>60</v>
      </c>
      <c r="R61" s="65">
        <v>300</v>
      </c>
      <c r="S61" s="363" t="s">
        <v>61</v>
      </c>
      <c r="T61" s="65">
        <v>98</v>
      </c>
      <c r="U61" s="363" t="s">
        <v>54</v>
      </c>
      <c r="V61" s="66" t="s">
        <v>274</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269</v>
      </c>
      <c r="J67" s="355">
        <f>H67-L67</f>
        <v>4.9999999999999992E-3</v>
      </c>
      <c r="K67" s="363" t="s">
        <v>270</v>
      </c>
      <c r="L67" s="64">
        <v>0.01</v>
      </c>
      <c r="M67" s="363" t="s">
        <v>57</v>
      </c>
      <c r="N67" s="65">
        <v>30</v>
      </c>
      <c r="O67" s="363" t="s">
        <v>59</v>
      </c>
      <c r="P67" s="65">
        <v>30</v>
      </c>
      <c r="Q67" s="363" t="s">
        <v>60</v>
      </c>
      <c r="R67" s="65">
        <v>70</v>
      </c>
      <c r="S67" s="363" t="s">
        <v>61</v>
      </c>
      <c r="T67" s="65">
        <v>15</v>
      </c>
      <c r="U67" s="363" t="s">
        <v>54</v>
      </c>
      <c r="V67" s="66" t="s">
        <v>117</v>
      </c>
      <c r="W67" s="463" t="s">
        <v>392</v>
      </c>
      <c r="X67" s="465">
        <v>0.32</v>
      </c>
      <c r="Y67" s="463" t="s">
        <v>391</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269</v>
      </c>
      <c r="J72" s="355">
        <f>H72-L72</f>
        <v>6.0000000000000001E-3</v>
      </c>
      <c r="K72" s="363" t="s">
        <v>270</v>
      </c>
      <c r="L72" s="64">
        <v>1.4E-2</v>
      </c>
      <c r="M72" s="363" t="s">
        <v>57</v>
      </c>
      <c r="N72" s="65">
        <v>30</v>
      </c>
      <c r="O72" s="363" t="s">
        <v>59</v>
      </c>
      <c r="P72" s="65">
        <v>30</v>
      </c>
      <c r="Q72" s="363" t="s">
        <v>60</v>
      </c>
      <c r="R72" s="65">
        <v>70</v>
      </c>
      <c r="S72" s="363" t="s">
        <v>61</v>
      </c>
      <c r="T72" s="65">
        <v>15</v>
      </c>
      <c r="U72" s="363" t="s">
        <v>54</v>
      </c>
      <c r="V72" s="66" t="s">
        <v>117</v>
      </c>
      <c r="W72" s="463" t="s">
        <v>392</v>
      </c>
      <c r="X72" s="465">
        <v>1.2</v>
      </c>
      <c r="Y72" s="463" t="s">
        <v>391</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269</v>
      </c>
      <c r="J77" s="355">
        <f>H77-L77</f>
        <v>1.3000000000000001E-2</v>
      </c>
      <c r="K77" s="363" t="s">
        <v>270</v>
      </c>
      <c r="L77" s="64">
        <v>1.0999999999999999E-2</v>
      </c>
      <c r="M77" s="363" t="s">
        <v>57</v>
      </c>
      <c r="N77" s="65">
        <v>30</v>
      </c>
      <c r="O77" s="363" t="s">
        <v>59</v>
      </c>
      <c r="P77" s="65">
        <v>30</v>
      </c>
      <c r="Q77" s="363" t="s">
        <v>60</v>
      </c>
      <c r="R77" s="65">
        <v>70</v>
      </c>
      <c r="S77" s="363" t="s">
        <v>61</v>
      </c>
      <c r="T77" s="65">
        <v>15</v>
      </c>
      <c r="U77" s="363" t="s">
        <v>54</v>
      </c>
      <c r="V77" s="66" t="s">
        <v>117</v>
      </c>
      <c r="W77" s="463" t="s">
        <v>392</v>
      </c>
      <c r="X77" s="465">
        <v>1.7</v>
      </c>
      <c r="Y77" s="463" t="s">
        <v>391</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327</v>
      </c>
      <c r="B82" s="359">
        <f>ROW(A82)</f>
        <v>82</v>
      </c>
      <c r="C82" s="363" t="s">
        <v>115</v>
      </c>
      <c r="D82" s="353">
        <f>SUM(B85:Y85)</f>
        <v>20.52</v>
      </c>
      <c r="E82" s="363" t="s">
        <v>114</v>
      </c>
      <c r="F82" s="354">
        <f>D82/g/J82</f>
        <v>80.451658433309802</v>
      </c>
      <c r="G82" s="363" t="s">
        <v>56</v>
      </c>
      <c r="H82" s="64">
        <f>H77*2</f>
        <v>4.8000000000000001E-2</v>
      </c>
      <c r="I82" s="363" t="s">
        <v>269</v>
      </c>
      <c r="J82" s="355">
        <f>H82-L82</f>
        <v>2.6000000000000002E-2</v>
      </c>
      <c r="K82" s="363" t="s">
        <v>270</v>
      </c>
      <c r="L82" s="64">
        <f>L77*2</f>
        <v>2.1999999999999999E-2</v>
      </c>
      <c r="M82" s="363" t="s">
        <v>57</v>
      </c>
      <c r="N82" s="65">
        <v>30</v>
      </c>
      <c r="O82" s="363" t="s">
        <v>59</v>
      </c>
      <c r="P82" s="65">
        <v>30</v>
      </c>
      <c r="Q82" s="363" t="s">
        <v>60</v>
      </c>
      <c r="R82" s="65">
        <v>70</v>
      </c>
      <c r="S82" s="363" t="s">
        <v>61</v>
      </c>
      <c r="T82" s="65">
        <v>30</v>
      </c>
      <c r="U82" s="363" t="s">
        <v>54</v>
      </c>
      <c r="V82" s="66" t="s">
        <v>117</v>
      </c>
      <c r="W82" s="463" t="s">
        <v>392</v>
      </c>
      <c r="X82" s="465">
        <v>1.7</v>
      </c>
      <c r="Y82" s="463" t="s">
        <v>391</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328</v>
      </c>
      <c r="B87" s="359">
        <f>ROW(A87)</f>
        <v>87</v>
      </c>
      <c r="C87" s="363" t="s">
        <v>115</v>
      </c>
      <c r="D87" s="353">
        <f>SUM(B90:Y90)</f>
        <v>30.779999999999998</v>
      </c>
      <c r="E87" s="363" t="s">
        <v>114</v>
      </c>
      <c r="F87" s="354">
        <f>D87/g/J87</f>
        <v>80.451658433309774</v>
      </c>
      <c r="G87" s="363" t="s">
        <v>56</v>
      </c>
      <c r="H87" s="64">
        <f>H77*3</f>
        <v>7.2000000000000008E-2</v>
      </c>
      <c r="I87" s="363" t="s">
        <v>269</v>
      </c>
      <c r="J87" s="355">
        <f>H87-L87</f>
        <v>3.9000000000000007E-2</v>
      </c>
      <c r="K87" s="363" t="s">
        <v>270</v>
      </c>
      <c r="L87" s="64">
        <f>L77*3</f>
        <v>3.3000000000000002E-2</v>
      </c>
      <c r="M87" s="363" t="s">
        <v>57</v>
      </c>
      <c r="N87" s="65">
        <v>30</v>
      </c>
      <c r="O87" s="363" t="s">
        <v>59</v>
      </c>
      <c r="P87" s="65">
        <v>30</v>
      </c>
      <c r="Q87" s="363" t="s">
        <v>60</v>
      </c>
      <c r="R87" s="65">
        <v>70</v>
      </c>
      <c r="S87" s="363" t="s">
        <v>61</v>
      </c>
      <c r="T87" s="65">
        <v>40</v>
      </c>
      <c r="U87" s="363" t="s">
        <v>54</v>
      </c>
      <c r="V87" s="66" t="s">
        <v>117</v>
      </c>
      <c r="W87" s="463" t="s">
        <v>392</v>
      </c>
      <c r="X87" s="465">
        <v>1.7</v>
      </c>
      <c r="Y87" s="463" t="s">
        <v>391</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538</v>
      </c>
      <c r="B92" s="359">
        <f>ROW(A92)</f>
        <v>92</v>
      </c>
      <c r="C92" s="363" t="s">
        <v>115</v>
      </c>
      <c r="D92" s="353">
        <f>SUM(B95:Y95)</f>
        <v>19.961989000000003</v>
      </c>
      <c r="E92" s="363" t="s">
        <v>114</v>
      </c>
      <c r="F92" s="354">
        <f>D92/g/J92</f>
        <v>118.30588744280873</v>
      </c>
      <c r="G92" s="363" t="s">
        <v>56</v>
      </c>
      <c r="H92" s="64">
        <v>2.8199999999999999E-2</v>
      </c>
      <c r="I92" s="363" t="s">
        <v>269</v>
      </c>
      <c r="J92" s="355">
        <f>H92-L92</f>
        <v>1.72E-2</v>
      </c>
      <c r="K92" s="363" t="s">
        <v>270</v>
      </c>
      <c r="L92" s="64">
        <v>1.0999999999999999E-2</v>
      </c>
      <c r="M92" s="363" t="s">
        <v>57</v>
      </c>
      <c r="N92" s="65">
        <v>30</v>
      </c>
      <c r="O92" s="363" t="s">
        <v>59</v>
      </c>
      <c r="P92" s="65">
        <v>30</v>
      </c>
      <c r="Q92" s="363" t="s">
        <v>60</v>
      </c>
      <c r="R92" s="65">
        <v>70</v>
      </c>
      <c r="S92" s="363" t="s">
        <v>61</v>
      </c>
      <c r="T92" s="65">
        <v>18</v>
      </c>
      <c r="U92" s="363" t="s">
        <v>54</v>
      </c>
      <c r="V92" s="66" t="s">
        <v>399</v>
      </c>
      <c r="W92" s="463" t="s">
        <v>392</v>
      </c>
      <c r="X92" s="465">
        <v>2.1</v>
      </c>
      <c r="Y92" s="463" t="s">
        <v>391</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536</v>
      </c>
      <c r="B97" s="359">
        <f>ROW(A97)</f>
        <v>97</v>
      </c>
      <c r="C97" s="363" t="s">
        <v>115</v>
      </c>
      <c r="D97" s="353">
        <f>SUM(B100:Y100)</f>
        <v>39.923978000000005</v>
      </c>
      <c r="E97" s="363" t="s">
        <v>114</v>
      </c>
      <c r="F97" s="354">
        <f>D97/g/J97</f>
        <v>118.30588744280873</v>
      </c>
      <c r="G97" s="363" t="s">
        <v>56</v>
      </c>
      <c r="H97" s="64">
        <f>H92*2</f>
        <v>5.6399999999999999E-2</v>
      </c>
      <c r="I97" s="363" t="s">
        <v>269</v>
      </c>
      <c r="J97" s="355">
        <f>H97-L97</f>
        <v>3.44E-2</v>
      </c>
      <c r="K97" s="363" t="s">
        <v>270</v>
      </c>
      <c r="L97" s="64">
        <f>L92*2</f>
        <v>2.1999999999999999E-2</v>
      </c>
      <c r="M97" s="363" t="s">
        <v>57</v>
      </c>
      <c r="N97" s="65">
        <v>30</v>
      </c>
      <c r="O97" s="363" t="s">
        <v>59</v>
      </c>
      <c r="P97" s="65">
        <v>30</v>
      </c>
      <c r="Q97" s="363" t="s">
        <v>60</v>
      </c>
      <c r="R97" s="65">
        <v>70</v>
      </c>
      <c r="S97" s="363" t="s">
        <v>61</v>
      </c>
      <c r="T97" s="65">
        <v>30</v>
      </c>
      <c r="U97" s="363" t="s">
        <v>54</v>
      </c>
      <c r="V97" s="66" t="s">
        <v>399</v>
      </c>
      <c r="W97" s="463" t="s">
        <v>392</v>
      </c>
      <c r="X97" s="465">
        <v>2.1</v>
      </c>
      <c r="Y97" s="463" t="s">
        <v>391</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537</v>
      </c>
      <c r="B102" s="359">
        <f>ROW(A102)</f>
        <v>102</v>
      </c>
      <c r="C102" s="363" t="s">
        <v>115</v>
      </c>
      <c r="D102" s="353">
        <f>SUM(B105:Y105)</f>
        <v>59.885967000000008</v>
      </c>
      <c r="E102" s="363" t="s">
        <v>114</v>
      </c>
      <c r="F102" s="354">
        <f>D102/g/J102</f>
        <v>118.30588744280874</v>
      </c>
      <c r="G102" s="363" t="s">
        <v>56</v>
      </c>
      <c r="H102" s="64">
        <f>H92*3</f>
        <v>8.4599999999999995E-2</v>
      </c>
      <c r="I102" s="363" t="s">
        <v>269</v>
      </c>
      <c r="J102" s="355">
        <f>H102-L102</f>
        <v>5.1599999999999993E-2</v>
      </c>
      <c r="K102" s="363" t="s">
        <v>270</v>
      </c>
      <c r="L102" s="64">
        <f>L92*3</f>
        <v>3.3000000000000002E-2</v>
      </c>
      <c r="M102" s="363" t="s">
        <v>57</v>
      </c>
      <c r="N102" s="65">
        <v>30</v>
      </c>
      <c r="O102" s="363" t="s">
        <v>59</v>
      </c>
      <c r="P102" s="65">
        <v>30</v>
      </c>
      <c r="Q102" s="363" t="s">
        <v>60</v>
      </c>
      <c r="R102" s="65">
        <v>70</v>
      </c>
      <c r="S102" s="363" t="s">
        <v>61</v>
      </c>
      <c r="T102" s="65">
        <v>40</v>
      </c>
      <c r="U102" s="363" t="s">
        <v>54</v>
      </c>
      <c r="V102" s="66" t="s">
        <v>399</v>
      </c>
      <c r="W102" s="463" t="s">
        <v>392</v>
      </c>
      <c r="X102" s="465">
        <v>2.1</v>
      </c>
      <c r="Y102" s="463" t="s">
        <v>391</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315</v>
      </c>
    </row>
    <row r="108" spans="1:26" ht="13.5" thickBot="1" x14ac:dyDescent="0.25">
      <c r="A108" s="361" t="s">
        <v>317</v>
      </c>
      <c r="B108" s="359">
        <f>ROW(A108)</f>
        <v>108</v>
      </c>
      <c r="C108" s="363" t="s">
        <v>115</v>
      </c>
      <c r="D108" s="353">
        <f>SUM(B111:Y111)</f>
        <v>24.269519000000003</v>
      </c>
      <c r="E108" s="363" t="s">
        <v>114</v>
      </c>
      <c r="F108" s="354">
        <f>D108/g/J108</f>
        <v>154.62231778797147</v>
      </c>
      <c r="G108" s="363" t="s">
        <v>56</v>
      </c>
      <c r="H108" s="64">
        <v>5.1999999999999998E-2</v>
      </c>
      <c r="I108" s="363" t="s">
        <v>269</v>
      </c>
      <c r="J108" s="355">
        <f>H108-L108</f>
        <v>1.6E-2</v>
      </c>
      <c r="K108" s="363" t="s">
        <v>270</v>
      </c>
      <c r="L108" s="64">
        <v>3.5999999999999997E-2</v>
      </c>
      <c r="M108" s="363" t="s">
        <v>57</v>
      </c>
      <c r="N108" s="396">
        <v>35</v>
      </c>
      <c r="O108" s="363" t="s">
        <v>59</v>
      </c>
      <c r="P108" s="396">
        <v>35</v>
      </c>
      <c r="Q108" s="363" t="s">
        <v>60</v>
      </c>
      <c r="R108" s="65">
        <v>69</v>
      </c>
      <c r="S108" s="363" t="s">
        <v>61</v>
      </c>
      <c r="T108" s="65">
        <v>24</v>
      </c>
      <c r="U108" s="363" t="s">
        <v>54</v>
      </c>
      <c r="V108" s="66" t="s">
        <v>397</v>
      </c>
      <c r="W108" s="463" t="s">
        <v>392</v>
      </c>
      <c r="X108" s="465">
        <v>1</v>
      </c>
      <c r="Y108" s="463" t="s">
        <v>391</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415</v>
      </c>
      <c r="B113" s="359">
        <f>ROW(A113)</f>
        <v>113</v>
      </c>
      <c r="C113" s="363" t="s">
        <v>115</v>
      </c>
      <c r="D113" s="353">
        <f>SUM(B116:Y116)</f>
        <v>24.488898000000002</v>
      </c>
      <c r="E113" s="363" t="s">
        <v>114</v>
      </c>
      <c r="F113" s="354">
        <f>D113/g/J113</f>
        <v>121.771701350041</v>
      </c>
      <c r="G113" s="363" t="s">
        <v>56</v>
      </c>
      <c r="H113" s="64">
        <v>5.6500000000000002E-2</v>
      </c>
      <c r="I113" s="363" t="s">
        <v>269</v>
      </c>
      <c r="J113" s="355">
        <f>H113-L113</f>
        <v>2.0500000000000004E-2</v>
      </c>
      <c r="K113" s="363" t="s">
        <v>270</v>
      </c>
      <c r="L113" s="64">
        <v>3.5999999999999997E-2</v>
      </c>
      <c r="M113" s="363" t="s">
        <v>57</v>
      </c>
      <c r="N113" s="396">
        <v>35</v>
      </c>
      <c r="O113" s="363" t="s">
        <v>59</v>
      </c>
      <c r="P113" s="396">
        <v>35</v>
      </c>
      <c r="Q113" s="363" t="s">
        <v>60</v>
      </c>
      <c r="R113" s="65">
        <v>69</v>
      </c>
      <c r="S113" s="363" t="s">
        <v>61</v>
      </c>
      <c r="T113" s="65">
        <v>24</v>
      </c>
      <c r="U113" s="363" t="s">
        <v>54</v>
      </c>
      <c r="V113" s="66" t="s">
        <v>398</v>
      </c>
      <c r="W113" s="463" t="s">
        <v>392</v>
      </c>
      <c r="X113" s="465">
        <v>0.33</v>
      </c>
      <c r="Y113" s="463" t="s">
        <v>391</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318</v>
      </c>
      <c r="B118" s="359">
        <f>ROW(A118)</f>
        <v>118</v>
      </c>
      <c r="C118" s="363" t="s">
        <v>115</v>
      </c>
      <c r="D118" s="353">
        <f>SUM(B121:Y121)</f>
        <v>26.083982500000001</v>
      </c>
      <c r="E118" s="363" t="s">
        <v>114</v>
      </c>
      <c r="F118" s="354">
        <f>D118/g/J118</f>
        <v>166.18235537716615</v>
      </c>
      <c r="G118" s="363" t="s">
        <v>56</v>
      </c>
      <c r="H118" s="64">
        <v>5.1999999999999998E-2</v>
      </c>
      <c r="I118" s="363" t="s">
        <v>269</v>
      </c>
      <c r="J118" s="355">
        <f>H118-L118</f>
        <v>1.6E-2</v>
      </c>
      <c r="K118" s="363" t="s">
        <v>270</v>
      </c>
      <c r="L118" s="64">
        <v>3.5999999999999997E-2</v>
      </c>
      <c r="M118" s="363" t="s">
        <v>57</v>
      </c>
      <c r="N118" s="396">
        <v>35</v>
      </c>
      <c r="O118" s="363" t="s">
        <v>59</v>
      </c>
      <c r="P118" s="396">
        <v>35</v>
      </c>
      <c r="Q118" s="363" t="s">
        <v>60</v>
      </c>
      <c r="R118" s="65">
        <v>69</v>
      </c>
      <c r="S118" s="363" t="s">
        <v>61</v>
      </c>
      <c r="T118" s="65">
        <v>24</v>
      </c>
      <c r="U118" s="363" t="s">
        <v>54</v>
      </c>
      <c r="V118" s="66" t="s">
        <v>397</v>
      </c>
      <c r="W118" s="463" t="s">
        <v>392</v>
      </c>
      <c r="X118" s="465">
        <v>0.85</v>
      </c>
      <c r="Y118" s="463" t="s">
        <v>391</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387</v>
      </c>
    </row>
    <row r="123" spans="1:26" ht="13.5" thickBot="1" x14ac:dyDescent="0.25">
      <c r="A123" s="361" t="s">
        <v>388</v>
      </c>
      <c r="B123" s="359">
        <f>ROW(A123)</f>
        <v>123</v>
      </c>
      <c r="C123" s="363" t="s">
        <v>115</v>
      </c>
      <c r="D123" s="353">
        <f>SUM(B126:Y126)</f>
        <v>49.788765499999997</v>
      </c>
      <c r="E123" s="363" t="s">
        <v>114</v>
      </c>
      <c r="F123" s="354">
        <v>231</v>
      </c>
      <c r="G123" s="363" t="s">
        <v>56</v>
      </c>
      <c r="H123" s="64">
        <v>7.2999999999999995E-2</v>
      </c>
      <c r="I123" s="363" t="s">
        <v>269</v>
      </c>
      <c r="J123" s="355">
        <f>H123-L123</f>
        <v>2.7999999999999997E-2</v>
      </c>
      <c r="K123" s="363" t="s">
        <v>270</v>
      </c>
      <c r="L123" s="64">
        <v>4.4999999999999998E-2</v>
      </c>
      <c r="M123" s="363" t="s">
        <v>57</v>
      </c>
      <c r="N123" s="396">
        <v>50</v>
      </c>
      <c r="O123" s="363" t="s">
        <v>59</v>
      </c>
      <c r="P123" s="396">
        <v>50</v>
      </c>
      <c r="Q123" s="363" t="s">
        <v>60</v>
      </c>
      <c r="R123" s="65">
        <v>101</v>
      </c>
      <c r="S123" s="363" t="s">
        <v>61</v>
      </c>
      <c r="T123" s="65">
        <v>24</v>
      </c>
      <c r="U123" s="363" t="s">
        <v>54</v>
      </c>
      <c r="V123" s="66" t="s">
        <v>119</v>
      </c>
      <c r="W123" s="463" t="s">
        <v>392</v>
      </c>
      <c r="X123" s="465">
        <v>1</v>
      </c>
      <c r="Y123" s="463" t="s">
        <v>391</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389</v>
      </c>
      <c r="B128" s="359">
        <f>ROW(A128)</f>
        <v>128</v>
      </c>
      <c r="C128" s="363" t="s">
        <v>115</v>
      </c>
      <c r="D128" s="353">
        <f>SUM(B131:Y131)</f>
        <v>52.815674000000008</v>
      </c>
      <c r="E128" s="363" t="s">
        <v>114</v>
      </c>
      <c r="F128" s="354">
        <v>239</v>
      </c>
      <c r="G128" s="363" t="s">
        <v>56</v>
      </c>
      <c r="H128" s="64">
        <v>7.2999999999999995E-2</v>
      </c>
      <c r="I128" s="363" t="s">
        <v>269</v>
      </c>
      <c r="J128" s="355">
        <f>H128-L128</f>
        <v>2.8999999999999998E-2</v>
      </c>
      <c r="K128" s="363" t="s">
        <v>270</v>
      </c>
      <c r="L128" s="64">
        <v>4.3999999999999997E-2</v>
      </c>
      <c r="M128" s="363" t="s">
        <v>57</v>
      </c>
      <c r="N128" s="396">
        <v>50</v>
      </c>
      <c r="O128" s="363" t="s">
        <v>59</v>
      </c>
      <c r="P128" s="396">
        <v>50</v>
      </c>
      <c r="Q128" s="363" t="s">
        <v>60</v>
      </c>
      <c r="R128" s="65">
        <v>101</v>
      </c>
      <c r="S128" s="363" t="s">
        <v>61</v>
      </c>
      <c r="T128" s="65">
        <v>24</v>
      </c>
      <c r="U128" s="363" t="s">
        <v>54</v>
      </c>
      <c r="V128" s="66" t="s">
        <v>119</v>
      </c>
      <c r="W128" s="463" t="s">
        <v>392</v>
      </c>
      <c r="X128" s="465">
        <v>0.77</v>
      </c>
      <c r="Y128" s="463" t="s">
        <v>391</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312</v>
      </c>
    </row>
    <row r="133" spans="1:26" ht="13.5" thickBot="1" x14ac:dyDescent="0.25">
      <c r="A133" s="361" t="s">
        <v>379</v>
      </c>
      <c r="B133" s="359">
        <f>ROW(A133)</f>
        <v>133</v>
      </c>
      <c r="C133" s="363" t="s">
        <v>115</v>
      </c>
      <c r="D133" s="353">
        <f>SUM(B136:Y136)</f>
        <v>41.835000000000015</v>
      </c>
      <c r="E133" s="363" t="s">
        <v>114</v>
      </c>
      <c r="F133" s="354">
        <f>D133/g/J133</f>
        <v>121.84359982525126</v>
      </c>
      <c r="G133" s="363" t="s">
        <v>56</v>
      </c>
      <c r="H133" s="64">
        <v>0.104</v>
      </c>
      <c r="I133" s="363" t="s">
        <v>269</v>
      </c>
      <c r="J133" s="355">
        <f>H133-L133</f>
        <v>3.4999999999999989E-2</v>
      </c>
      <c r="K133" s="363" t="s">
        <v>270</v>
      </c>
      <c r="L133" s="64">
        <v>6.9000000000000006E-2</v>
      </c>
      <c r="M133" s="363" t="s">
        <v>57</v>
      </c>
      <c r="N133" s="65">
        <v>49</v>
      </c>
      <c r="O133" s="363" t="s">
        <v>59</v>
      </c>
      <c r="P133" s="65">
        <v>49</v>
      </c>
      <c r="Q133" s="363" t="s">
        <v>60</v>
      </c>
      <c r="R133" s="65">
        <v>98</v>
      </c>
      <c r="S133" s="363" t="s">
        <v>61</v>
      </c>
      <c r="T133" s="65">
        <v>29</v>
      </c>
      <c r="U133" s="363" t="s">
        <v>54</v>
      </c>
      <c r="V133" s="66" t="s">
        <v>397</v>
      </c>
      <c r="W133" s="463" t="s">
        <v>392</v>
      </c>
      <c r="X133" s="465">
        <v>1.07</v>
      </c>
      <c r="Y133" s="463" t="s">
        <v>391</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380</v>
      </c>
      <c r="B138" s="359">
        <f>ROW(A138)</f>
        <v>138</v>
      </c>
      <c r="C138" s="363" t="s">
        <v>115</v>
      </c>
      <c r="D138" s="353">
        <f>SUM(B141:Y141)</f>
        <v>52.564999999999998</v>
      </c>
      <c r="E138" s="363" t="s">
        <v>114</v>
      </c>
      <c r="F138" s="354">
        <f>D138/g/J138</f>
        <v>167.44712028542301</v>
      </c>
      <c r="G138" s="363" t="s">
        <v>56</v>
      </c>
      <c r="H138" s="64">
        <v>0.10100000000000001</v>
      </c>
      <c r="I138" s="363" t="s">
        <v>269</v>
      </c>
      <c r="J138" s="355">
        <f>H138-L138</f>
        <v>3.2000000000000001E-2</v>
      </c>
      <c r="K138" s="363" t="s">
        <v>270</v>
      </c>
      <c r="L138" s="64">
        <v>6.9000000000000006E-2</v>
      </c>
      <c r="M138" s="363" t="s">
        <v>57</v>
      </c>
      <c r="N138" s="65">
        <v>49</v>
      </c>
      <c r="O138" s="363" t="s">
        <v>59</v>
      </c>
      <c r="P138" s="65">
        <v>49</v>
      </c>
      <c r="Q138" s="363" t="s">
        <v>60</v>
      </c>
      <c r="R138" s="65">
        <v>98</v>
      </c>
      <c r="S138" s="363" t="s">
        <v>61</v>
      </c>
      <c r="T138" s="65">
        <v>29</v>
      </c>
      <c r="U138" s="363" t="s">
        <v>54</v>
      </c>
      <c r="V138" s="66" t="s">
        <v>398</v>
      </c>
      <c r="W138" s="463" t="s">
        <v>392</v>
      </c>
      <c r="X138" s="465">
        <v>1.8</v>
      </c>
      <c r="Y138" s="463" t="s">
        <v>391</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381</v>
      </c>
      <c r="B143" s="359">
        <f>ROW(A143)</f>
        <v>143</v>
      </c>
      <c r="C143" s="363" t="s">
        <v>115</v>
      </c>
      <c r="D143" s="353">
        <f>SUM(B146:Y146)</f>
        <v>54.110016122119539</v>
      </c>
      <c r="E143" s="363" t="s">
        <v>114</v>
      </c>
      <c r="F143" s="354">
        <f>D143/g/J143</f>
        <v>146.69685764124625</v>
      </c>
      <c r="G143" s="363" t="s">
        <v>56</v>
      </c>
      <c r="H143" s="64">
        <v>0.10580000000000001</v>
      </c>
      <c r="I143" s="363" t="s">
        <v>269</v>
      </c>
      <c r="J143" s="355">
        <f>H143-L143</f>
        <v>3.7600000000000008E-2</v>
      </c>
      <c r="K143" s="363" t="s">
        <v>270</v>
      </c>
      <c r="L143" s="64">
        <v>6.8199999999999997E-2</v>
      </c>
      <c r="M143" s="363" t="s">
        <v>57</v>
      </c>
      <c r="N143" s="65">
        <v>49</v>
      </c>
      <c r="O143" s="363" t="s">
        <v>59</v>
      </c>
      <c r="P143" s="65">
        <v>49</v>
      </c>
      <c r="Q143" s="363" t="s">
        <v>60</v>
      </c>
      <c r="R143" s="65">
        <v>98</v>
      </c>
      <c r="S143" s="363" t="s">
        <v>61</v>
      </c>
      <c r="T143" s="65">
        <v>29</v>
      </c>
      <c r="U143" s="363" t="s">
        <v>54</v>
      </c>
      <c r="V143" s="66" t="s">
        <v>397</v>
      </c>
      <c r="W143" s="463" t="s">
        <v>392</v>
      </c>
      <c r="X143" s="465">
        <v>1.9</v>
      </c>
      <c r="Y143" s="463" t="s">
        <v>391</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541</v>
      </c>
      <c r="B148" s="359">
        <f>ROW(A148)</f>
        <v>148</v>
      </c>
      <c r="C148" s="363" t="s">
        <v>115</v>
      </c>
      <c r="D148" s="353">
        <f>SUM(B151:Y151)</f>
        <v>55.589492</v>
      </c>
      <c r="E148" s="363" t="s">
        <v>114</v>
      </c>
      <c r="F148" s="354">
        <f>D148/g/J148</f>
        <v>177.08171508664634</v>
      </c>
      <c r="G148" s="363" t="s">
        <v>56</v>
      </c>
      <c r="H148" s="64">
        <v>0.10199999999999999</v>
      </c>
      <c r="I148" s="363" t="s">
        <v>269</v>
      </c>
      <c r="J148" s="355">
        <f>H148-L148</f>
        <v>3.1999999999999987E-2</v>
      </c>
      <c r="K148" s="363" t="s">
        <v>270</v>
      </c>
      <c r="L148" s="64">
        <v>7.0000000000000007E-2</v>
      </c>
      <c r="M148" s="363" t="s">
        <v>57</v>
      </c>
      <c r="N148" s="65">
        <v>49</v>
      </c>
      <c r="O148" s="363" t="s">
        <v>59</v>
      </c>
      <c r="P148" s="65">
        <v>49</v>
      </c>
      <c r="Q148" s="363" t="s">
        <v>60</v>
      </c>
      <c r="R148" s="65">
        <v>98</v>
      </c>
      <c r="S148" s="363" t="s">
        <v>61</v>
      </c>
      <c r="T148" s="65">
        <v>29</v>
      </c>
      <c r="U148" s="363" t="s">
        <v>54</v>
      </c>
      <c r="V148" s="66" t="s">
        <v>398</v>
      </c>
      <c r="W148" s="463" t="s">
        <v>392</v>
      </c>
      <c r="X148" s="465">
        <v>0.45</v>
      </c>
      <c r="Y148" s="463" t="s">
        <v>391</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382</v>
      </c>
      <c r="B153" s="359">
        <f>ROW(A153)</f>
        <v>153</v>
      </c>
      <c r="C153" s="363" t="s">
        <v>115</v>
      </c>
      <c r="D153" s="353">
        <f>SUM(B156:Y156)</f>
        <v>55.705884500000003</v>
      </c>
      <c r="E153" s="363" t="s">
        <v>114</v>
      </c>
      <c r="F153" s="354">
        <f>D153/g/J153</f>
        <v>180.84329814241278</v>
      </c>
      <c r="G153" s="363" t="s">
        <v>56</v>
      </c>
      <c r="H153" s="64">
        <v>0.1062</v>
      </c>
      <c r="I153" s="363" t="s">
        <v>269</v>
      </c>
      <c r="J153" s="355">
        <f>H153-L153</f>
        <v>3.1400000000000011E-2</v>
      </c>
      <c r="K153" s="363" t="s">
        <v>270</v>
      </c>
      <c r="L153" s="64">
        <v>7.4799999999999991E-2</v>
      </c>
      <c r="M153" s="363" t="s">
        <v>57</v>
      </c>
      <c r="N153" s="65">
        <v>49</v>
      </c>
      <c r="O153" s="363" t="s">
        <v>59</v>
      </c>
      <c r="P153" s="65">
        <v>49</v>
      </c>
      <c r="Q153" s="363" t="s">
        <v>60</v>
      </c>
      <c r="R153" s="65">
        <v>98</v>
      </c>
      <c r="S153" s="363" t="s">
        <v>61</v>
      </c>
      <c r="T153" s="65">
        <v>29</v>
      </c>
      <c r="U153" s="363" t="s">
        <v>54</v>
      </c>
      <c r="V153" s="66" t="s">
        <v>398</v>
      </c>
      <c r="W153" s="463" t="s">
        <v>392</v>
      </c>
      <c r="X153" s="465">
        <v>0.45</v>
      </c>
      <c r="Y153" s="463" t="s">
        <v>391</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383</v>
      </c>
      <c r="B158" s="359">
        <f>ROW(A158)</f>
        <v>158</v>
      </c>
      <c r="C158" s="363" t="s">
        <v>115</v>
      </c>
      <c r="D158" s="353">
        <f>SUM(B161:Y161)</f>
        <v>57.190000000000005</v>
      </c>
      <c r="E158" s="363" t="s">
        <v>114</v>
      </c>
      <c r="F158" s="354">
        <f>D158/g/J158</f>
        <v>188.05695307618953</v>
      </c>
      <c r="G158" s="363" t="s">
        <v>56</v>
      </c>
      <c r="H158" s="64">
        <v>9.9000000000000005E-2</v>
      </c>
      <c r="I158" s="363" t="s">
        <v>269</v>
      </c>
      <c r="J158" s="355">
        <f>H158-L158</f>
        <v>3.1E-2</v>
      </c>
      <c r="K158" s="363" t="s">
        <v>270</v>
      </c>
      <c r="L158" s="64">
        <v>6.8000000000000005E-2</v>
      </c>
      <c r="M158" s="363" t="s">
        <v>57</v>
      </c>
      <c r="N158" s="65">
        <v>49</v>
      </c>
      <c r="O158" s="363" t="s">
        <v>59</v>
      </c>
      <c r="P158" s="65">
        <v>49</v>
      </c>
      <c r="Q158" s="363" t="s">
        <v>60</v>
      </c>
      <c r="R158" s="65">
        <v>98</v>
      </c>
      <c r="S158" s="363" t="s">
        <v>61</v>
      </c>
      <c r="T158" s="65">
        <v>29</v>
      </c>
      <c r="U158" s="363" t="s">
        <v>54</v>
      </c>
      <c r="V158" s="66" t="s">
        <v>398</v>
      </c>
      <c r="W158" s="463" t="s">
        <v>392</v>
      </c>
      <c r="X158" s="465">
        <v>0.96</v>
      </c>
      <c r="Y158" s="463" t="s">
        <v>391</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313</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319</v>
      </c>
      <c r="B163" s="359">
        <f>ROW(A163)</f>
        <v>163</v>
      </c>
      <c r="C163" s="363" t="s">
        <v>115</v>
      </c>
      <c r="D163" s="353">
        <f>SUM(B166:Y166)</f>
        <v>59.702267000000006</v>
      </c>
      <c r="E163" s="363" t="s">
        <v>114</v>
      </c>
      <c r="F163" s="354">
        <f>D163/g/J163</f>
        <v>190.77924771281306</v>
      </c>
      <c r="G163" s="363" t="s">
        <v>56</v>
      </c>
      <c r="H163" s="64">
        <v>9.3899999999999997E-2</v>
      </c>
      <c r="I163" s="363" t="s">
        <v>269</v>
      </c>
      <c r="J163" s="355">
        <f>H163-L163</f>
        <v>3.1899999999999998E-2</v>
      </c>
      <c r="K163" s="363" t="s">
        <v>270</v>
      </c>
      <c r="L163" s="64">
        <f>0.095-0.033</f>
        <v>6.2E-2</v>
      </c>
      <c r="M163" s="363" t="s">
        <v>57</v>
      </c>
      <c r="N163" s="396">
        <v>66.5</v>
      </c>
      <c r="O163" s="363" t="s">
        <v>59</v>
      </c>
      <c r="P163" s="396">
        <v>66.5</v>
      </c>
      <c r="Q163" s="363" t="s">
        <v>60</v>
      </c>
      <c r="R163" s="65">
        <v>133</v>
      </c>
      <c r="S163" s="363" t="s">
        <v>61</v>
      </c>
      <c r="T163" s="65">
        <v>24</v>
      </c>
      <c r="U163" s="363" t="s">
        <v>54</v>
      </c>
      <c r="V163" s="66" t="s">
        <v>397</v>
      </c>
      <c r="W163" s="463" t="s">
        <v>392</v>
      </c>
      <c r="X163" s="465">
        <v>1.2</v>
      </c>
      <c r="Y163" s="463" t="s">
        <v>391</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320</v>
      </c>
      <c r="B168" s="359">
        <f>ROW(A168)</f>
        <v>168</v>
      </c>
      <c r="C168" s="363" t="s">
        <v>115</v>
      </c>
      <c r="D168" s="353">
        <f>SUM(B171:Y171)</f>
        <v>68.380602999999994</v>
      </c>
      <c r="E168" s="363" t="s">
        <v>114</v>
      </c>
      <c r="F168" s="354">
        <f>D168/g/J168</f>
        <v>134.04807300243078</v>
      </c>
      <c r="G168" s="363" t="s">
        <v>56</v>
      </c>
      <c r="H168" s="64">
        <v>0.1075</v>
      </c>
      <c r="I168" s="363" t="s">
        <v>269</v>
      </c>
      <c r="J168" s="355">
        <f>H168-L168</f>
        <v>5.1999999999999998E-2</v>
      </c>
      <c r="K168" s="363" t="s">
        <v>270</v>
      </c>
      <c r="L168" s="64">
        <v>5.5500000000000001E-2</v>
      </c>
      <c r="M168" s="363" t="s">
        <v>57</v>
      </c>
      <c r="N168" s="396">
        <v>66.5</v>
      </c>
      <c r="O168" s="363" t="s">
        <v>59</v>
      </c>
      <c r="P168" s="396">
        <v>66.5</v>
      </c>
      <c r="Q168" s="363" t="s">
        <v>60</v>
      </c>
      <c r="R168" s="65">
        <v>133</v>
      </c>
      <c r="S168" s="363" t="s">
        <v>61</v>
      </c>
      <c r="T168" s="65">
        <v>24</v>
      </c>
      <c r="U168" s="363" t="s">
        <v>54</v>
      </c>
      <c r="V168" s="66" t="s">
        <v>397</v>
      </c>
      <c r="W168" s="463" t="s">
        <v>392</v>
      </c>
      <c r="X168" s="465">
        <v>0.86</v>
      </c>
      <c r="Y168" s="463" t="s">
        <v>391</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321</v>
      </c>
      <c r="B173" s="359">
        <f>ROW(A173)</f>
        <v>173</v>
      </c>
      <c r="C173" s="363" t="s">
        <v>115</v>
      </c>
      <c r="D173" s="353">
        <f>SUM(B176:Y176)</f>
        <v>67.985428500000012</v>
      </c>
      <c r="E173" s="363" t="s">
        <v>114</v>
      </c>
      <c r="F173" s="354">
        <f>D173/g/J173</f>
        <v>181.89545859519862</v>
      </c>
      <c r="G173" s="363" t="s">
        <v>56</v>
      </c>
      <c r="H173" s="64">
        <v>9.1799999999999993E-2</v>
      </c>
      <c r="I173" s="363" t="s">
        <v>269</v>
      </c>
      <c r="J173" s="355">
        <f>H173-L173</f>
        <v>3.8099999999999988E-2</v>
      </c>
      <c r="K173" s="363" t="s">
        <v>270</v>
      </c>
      <c r="L173" s="64">
        <v>5.3700000000000005E-2</v>
      </c>
      <c r="M173" s="363" t="s">
        <v>57</v>
      </c>
      <c r="N173" s="396">
        <v>66.5</v>
      </c>
      <c r="O173" s="363" t="s">
        <v>59</v>
      </c>
      <c r="P173" s="396">
        <v>66.5</v>
      </c>
      <c r="Q173" s="363" t="s">
        <v>60</v>
      </c>
      <c r="R173" s="65">
        <v>133</v>
      </c>
      <c r="S173" s="363" t="s">
        <v>61</v>
      </c>
      <c r="T173" s="65">
        <v>24</v>
      </c>
      <c r="U173" s="363" t="s">
        <v>54</v>
      </c>
      <c r="V173" s="66" t="s">
        <v>397</v>
      </c>
      <c r="W173" s="463" t="s">
        <v>392</v>
      </c>
      <c r="X173" s="465">
        <v>0.33</v>
      </c>
      <c r="Y173" s="463" t="s">
        <v>391</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322</v>
      </c>
      <c r="B178" s="359">
        <f>ROW(A178)</f>
        <v>178</v>
      </c>
      <c r="C178" s="363" t="s">
        <v>115</v>
      </c>
      <c r="D178" s="353">
        <f>SUM(B181:Y181)</f>
        <v>73.557381500000005</v>
      </c>
      <c r="E178" s="363" t="s">
        <v>114</v>
      </c>
      <c r="F178" s="354">
        <f>D178/g/J178</f>
        <v>156.86619302308719</v>
      </c>
      <c r="G178" s="363" t="s">
        <v>56</v>
      </c>
      <c r="H178" s="64">
        <v>0.1022</v>
      </c>
      <c r="I178" s="363" t="s">
        <v>269</v>
      </c>
      <c r="J178" s="355">
        <f>H178-L178</f>
        <v>4.7800000000000002E-2</v>
      </c>
      <c r="K178" s="363" t="s">
        <v>270</v>
      </c>
      <c r="L178" s="64">
        <v>5.4399999999999997E-2</v>
      </c>
      <c r="M178" s="363" t="s">
        <v>57</v>
      </c>
      <c r="N178" s="396">
        <v>66.5</v>
      </c>
      <c r="O178" s="363" t="s">
        <v>59</v>
      </c>
      <c r="P178" s="396">
        <v>66.5</v>
      </c>
      <c r="Q178" s="363" t="s">
        <v>60</v>
      </c>
      <c r="R178" s="65">
        <v>133</v>
      </c>
      <c r="S178" s="363" t="s">
        <v>61</v>
      </c>
      <c r="T178" s="65">
        <v>24</v>
      </c>
      <c r="U178" s="363" t="s">
        <v>54</v>
      </c>
      <c r="V178" s="66" t="s">
        <v>397</v>
      </c>
      <c r="W178" s="463" t="s">
        <v>392</v>
      </c>
      <c r="X178" s="465">
        <v>2.36</v>
      </c>
      <c r="Y178" s="463" t="s">
        <v>391</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323</v>
      </c>
      <c r="B183" s="359">
        <f>ROW(A183)</f>
        <v>183</v>
      </c>
      <c r="C183" s="363" t="s">
        <v>115</v>
      </c>
      <c r="D183" s="353">
        <f>SUM(B186:Y186)</f>
        <v>73.169517999999997</v>
      </c>
      <c r="E183" s="363" t="s">
        <v>114</v>
      </c>
      <c r="F183" s="354">
        <f>D183/g/J183</f>
        <v>177.58729673316827</v>
      </c>
      <c r="G183" s="363" t="s">
        <v>56</v>
      </c>
      <c r="H183" s="64">
        <v>9.6000000000000002E-2</v>
      </c>
      <c r="I183" s="363" t="s">
        <v>269</v>
      </c>
      <c r="J183" s="355">
        <f>H183-L183</f>
        <v>4.2000000000000003E-2</v>
      </c>
      <c r="K183" s="363" t="s">
        <v>270</v>
      </c>
      <c r="L183" s="64">
        <v>5.3999999999999999E-2</v>
      </c>
      <c r="M183" s="363" t="s">
        <v>57</v>
      </c>
      <c r="N183" s="396">
        <v>66.5</v>
      </c>
      <c r="O183" s="363" t="s">
        <v>59</v>
      </c>
      <c r="P183" s="396">
        <v>66.5</v>
      </c>
      <c r="Q183" s="363" t="s">
        <v>60</v>
      </c>
      <c r="R183" s="65">
        <v>133</v>
      </c>
      <c r="S183" s="363" t="s">
        <v>61</v>
      </c>
      <c r="T183" s="65">
        <v>24</v>
      </c>
      <c r="U183" s="363" t="s">
        <v>54</v>
      </c>
      <c r="V183" s="66" t="s">
        <v>398</v>
      </c>
      <c r="W183" s="463" t="s">
        <v>392</v>
      </c>
      <c r="X183" s="465">
        <v>0.87</v>
      </c>
      <c r="Y183" s="463" t="s">
        <v>391</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324</v>
      </c>
      <c r="B188" s="359">
        <f>ROW(A188)</f>
        <v>188</v>
      </c>
      <c r="C188" s="363" t="s">
        <v>115</v>
      </c>
      <c r="D188" s="353">
        <f>SUM(B191:Y191)</f>
        <v>75.254384000000016</v>
      </c>
      <c r="E188" s="363" t="s">
        <v>114</v>
      </c>
      <c r="F188" s="354">
        <f>D188/g/J188</f>
        <v>232.46033422914161</v>
      </c>
      <c r="G188" s="363" t="s">
        <v>56</v>
      </c>
      <c r="H188" s="64">
        <v>9.5000000000000001E-2</v>
      </c>
      <c r="I188" s="363" t="s">
        <v>269</v>
      </c>
      <c r="J188" s="355">
        <f>H188-L188</f>
        <v>3.3000000000000002E-2</v>
      </c>
      <c r="K188" s="363" t="s">
        <v>270</v>
      </c>
      <c r="L188" s="64">
        <f>0.095-0.033</f>
        <v>6.2E-2</v>
      </c>
      <c r="M188" s="363" t="s">
        <v>57</v>
      </c>
      <c r="N188" s="396">
        <v>66.5</v>
      </c>
      <c r="O188" s="363" t="s">
        <v>59</v>
      </c>
      <c r="P188" s="396">
        <v>66.5</v>
      </c>
      <c r="Q188" s="363" t="s">
        <v>60</v>
      </c>
      <c r="R188" s="65">
        <v>133</v>
      </c>
      <c r="S188" s="363" t="s">
        <v>61</v>
      </c>
      <c r="T188" s="65">
        <v>24</v>
      </c>
      <c r="U188" s="363" t="s">
        <v>54</v>
      </c>
      <c r="V188" s="66" t="s">
        <v>398</v>
      </c>
      <c r="W188" s="463" t="s">
        <v>392</v>
      </c>
      <c r="X188" s="465">
        <v>1.5</v>
      </c>
      <c r="Y188" s="463" t="s">
        <v>391</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371</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533</v>
      </c>
      <c r="B193" s="359">
        <f>ROW(A193)</f>
        <v>193</v>
      </c>
      <c r="C193" s="363" t="s">
        <v>115</v>
      </c>
      <c r="D193" s="353">
        <f>SUM(B196:Y196)</f>
        <v>141.04999999999998</v>
      </c>
      <c r="E193" s="363" t="s">
        <v>114</v>
      </c>
      <c r="F193" s="354">
        <f>D193/g/J193</f>
        <v>186.24592648930721</v>
      </c>
      <c r="G193" s="363" t="s">
        <v>56</v>
      </c>
      <c r="H193" s="64">
        <v>0.16189999999999999</v>
      </c>
      <c r="I193" s="363" t="s">
        <v>269</v>
      </c>
      <c r="J193" s="355">
        <f>H193-L193</f>
        <v>7.7199999999999991E-2</v>
      </c>
      <c r="K193" s="363" t="s">
        <v>270</v>
      </c>
      <c r="L193" s="64">
        <v>8.4699999999999998E-2</v>
      </c>
      <c r="M193" s="363" t="s">
        <v>57</v>
      </c>
      <c r="N193" s="65">
        <v>114</v>
      </c>
      <c r="O193" s="363" t="s">
        <v>59</v>
      </c>
      <c r="P193" s="65">
        <v>114</v>
      </c>
      <c r="Q193" s="363" t="s">
        <v>60</v>
      </c>
      <c r="R193" s="65">
        <v>228</v>
      </c>
      <c r="S193" s="363" t="s">
        <v>61</v>
      </c>
      <c r="T193" s="65">
        <v>24</v>
      </c>
      <c r="U193" s="363" t="s">
        <v>54</v>
      </c>
      <c r="V193" s="66" t="s">
        <v>119</v>
      </c>
      <c r="W193" s="463" t="s">
        <v>392</v>
      </c>
      <c r="X193" s="465">
        <v>0.96</v>
      </c>
      <c r="Y193" s="463" t="s">
        <v>391</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542</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546</v>
      </c>
      <c r="B198" s="359">
        <f>ROW(A198)</f>
        <v>198</v>
      </c>
      <c r="C198" s="363" t="s">
        <v>115</v>
      </c>
      <c r="D198" s="353">
        <f>SUM(B201:Y201)</f>
        <v>142.44</v>
      </c>
      <c r="E198" s="363" t="s">
        <v>114</v>
      </c>
      <c r="F198" s="354">
        <f>D198/g/J198</f>
        <v>192.06187401906058</v>
      </c>
      <c r="G198" s="363" t="s">
        <v>56</v>
      </c>
      <c r="H198" s="64">
        <v>0.15989999999999999</v>
      </c>
      <c r="I198" s="363" t="s">
        <v>269</v>
      </c>
      <c r="J198" s="355">
        <f>H198-L198</f>
        <v>7.5599999999999987E-2</v>
      </c>
      <c r="K198" s="363" t="s">
        <v>270</v>
      </c>
      <c r="L198" s="64">
        <v>8.43E-2</v>
      </c>
      <c r="M198" s="363" t="s">
        <v>57</v>
      </c>
      <c r="N198" s="65">
        <v>114</v>
      </c>
      <c r="O198" s="363" t="s">
        <v>59</v>
      </c>
      <c r="P198" s="65">
        <v>114</v>
      </c>
      <c r="Q198" s="363" t="s">
        <v>60</v>
      </c>
      <c r="R198" s="65">
        <v>228</v>
      </c>
      <c r="S198" s="363" t="s">
        <v>61</v>
      </c>
      <c r="T198" s="65">
        <v>24</v>
      </c>
      <c r="U198" s="363" t="s">
        <v>54</v>
      </c>
      <c r="V198" s="66" t="s">
        <v>399</v>
      </c>
      <c r="W198" s="463" t="s">
        <v>392</v>
      </c>
      <c r="X198" s="465">
        <v>0.97</v>
      </c>
      <c r="Y198" s="463" t="s">
        <v>391</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535</v>
      </c>
      <c r="B203" s="359">
        <f>ROW(A203)</f>
        <v>203</v>
      </c>
      <c r="C203" s="363" t="s">
        <v>115</v>
      </c>
      <c r="D203" s="353">
        <f>SUM(B206:Y206)</f>
        <v>143.08845000000002</v>
      </c>
      <c r="E203" s="363" t="s">
        <v>114</v>
      </c>
      <c r="F203" s="354">
        <f>D203/g/J203</f>
        <v>168.23504721190514</v>
      </c>
      <c r="G203" s="363" t="s">
        <v>56</v>
      </c>
      <c r="H203" s="64">
        <v>0.17249999999999999</v>
      </c>
      <c r="I203" s="363" t="s">
        <v>269</v>
      </c>
      <c r="J203" s="355">
        <f>H203-L203</f>
        <v>8.6699999999999985E-2</v>
      </c>
      <c r="K203" s="363" t="s">
        <v>270</v>
      </c>
      <c r="L203" s="64">
        <v>8.5800000000000001E-2</v>
      </c>
      <c r="M203" s="363" t="s">
        <v>57</v>
      </c>
      <c r="N203" s="65">
        <v>114</v>
      </c>
      <c r="O203" s="363" t="s">
        <v>59</v>
      </c>
      <c r="P203" s="65">
        <v>114</v>
      </c>
      <c r="Q203" s="363" t="s">
        <v>60</v>
      </c>
      <c r="R203" s="65">
        <v>228</v>
      </c>
      <c r="S203" s="363" t="s">
        <v>61</v>
      </c>
      <c r="T203" s="65">
        <v>24</v>
      </c>
      <c r="U203" s="363" t="s">
        <v>54</v>
      </c>
      <c r="V203" s="66" t="s">
        <v>119</v>
      </c>
      <c r="W203" s="463" t="s">
        <v>392</v>
      </c>
      <c r="X203" s="465">
        <v>0.97</v>
      </c>
      <c r="Y203" s="463" t="s">
        <v>391</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534</v>
      </c>
      <c r="B208" s="359">
        <f>ROW(A208)</f>
        <v>208</v>
      </c>
      <c r="C208" s="363" t="s">
        <v>115</v>
      </c>
      <c r="D208" s="353">
        <f>SUM(B211:Y211)</f>
        <v>139.423417</v>
      </c>
      <c r="E208" s="363" t="s">
        <v>114</v>
      </c>
      <c r="F208" s="354">
        <f>D208/g/J208</f>
        <v>158.62027745922524</v>
      </c>
      <c r="G208" s="363" t="s">
        <v>56</v>
      </c>
      <c r="H208" s="64">
        <v>0.19450000000000001</v>
      </c>
      <c r="I208" s="363" t="s">
        <v>269</v>
      </c>
      <c r="J208" s="355">
        <f>H208-L208</f>
        <v>8.9600000000000013E-2</v>
      </c>
      <c r="K208" s="363" t="s">
        <v>270</v>
      </c>
      <c r="L208" s="64">
        <v>0.10489999999999999</v>
      </c>
      <c r="M208" s="363" t="s">
        <v>57</v>
      </c>
      <c r="N208" s="65">
        <v>114</v>
      </c>
      <c r="O208" s="363" t="s">
        <v>59</v>
      </c>
      <c r="P208" s="65">
        <v>144</v>
      </c>
      <c r="Q208" s="363" t="s">
        <v>60</v>
      </c>
      <c r="R208" s="65">
        <v>228</v>
      </c>
      <c r="S208" s="363" t="s">
        <v>61</v>
      </c>
      <c r="T208" s="65">
        <v>24</v>
      </c>
      <c r="U208" s="363" t="s">
        <v>54</v>
      </c>
      <c r="V208" s="66" t="s">
        <v>119</v>
      </c>
      <c r="W208" s="463" t="s">
        <v>392</v>
      </c>
      <c r="X208" s="465">
        <v>1.3</v>
      </c>
      <c r="Y208" s="463" t="s">
        <v>391</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314</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373</v>
      </c>
      <c r="B213" s="359">
        <f>ROW(A213)</f>
        <v>213</v>
      </c>
      <c r="C213" s="363" t="s">
        <v>115</v>
      </c>
      <c r="D213" s="353">
        <f>SUM(B216:Y216)</f>
        <v>82.798500000000018</v>
      </c>
      <c r="E213" s="363" t="s">
        <v>114</v>
      </c>
      <c r="F213" s="354">
        <f>D213/g/J213</f>
        <v>131.87834480122325</v>
      </c>
      <c r="G213" s="363" t="s">
        <v>56</v>
      </c>
      <c r="H213" s="64">
        <v>0.152</v>
      </c>
      <c r="I213" s="363" t="s">
        <v>269</v>
      </c>
      <c r="J213" s="355">
        <f>H213-L213</f>
        <v>6.4000000000000001E-2</v>
      </c>
      <c r="K213" s="363" t="s">
        <v>270</v>
      </c>
      <c r="L213" s="64">
        <v>8.7999999999999995E-2</v>
      </c>
      <c r="M213" s="363" t="s">
        <v>57</v>
      </c>
      <c r="N213" s="65">
        <v>71</v>
      </c>
      <c r="O213" s="363" t="s">
        <v>59</v>
      </c>
      <c r="P213" s="65">
        <v>71</v>
      </c>
      <c r="Q213" s="363" t="s">
        <v>60</v>
      </c>
      <c r="R213" s="65">
        <v>142</v>
      </c>
      <c r="S213" s="363" t="s">
        <v>61</v>
      </c>
      <c r="T213" s="65">
        <v>29</v>
      </c>
      <c r="U213" s="363" t="s">
        <v>54</v>
      </c>
      <c r="V213" s="66" t="s">
        <v>119</v>
      </c>
      <c r="W213" s="463" t="s">
        <v>392</v>
      </c>
      <c r="X213" s="465">
        <v>0.96</v>
      </c>
      <c r="Y213" s="463" t="s">
        <v>391</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374</v>
      </c>
      <c r="B218" s="359">
        <f>ROW(A218)</f>
        <v>218</v>
      </c>
      <c r="C218" s="363" t="s">
        <v>115</v>
      </c>
      <c r="D218" s="353">
        <f>SUM(B221:Y221)</f>
        <v>98.257101163036367</v>
      </c>
      <c r="E218" s="363" t="s">
        <v>114</v>
      </c>
      <c r="F218" s="354">
        <f>D218/g/J218</f>
        <v>177.58890761893778</v>
      </c>
      <c r="G218" s="363" t="s">
        <v>56</v>
      </c>
      <c r="H218" s="64">
        <v>0.14319999999999999</v>
      </c>
      <c r="I218" s="363" t="s">
        <v>269</v>
      </c>
      <c r="J218" s="355">
        <f>H218-L218</f>
        <v>5.6399999999999992E-2</v>
      </c>
      <c r="K218" s="363" t="s">
        <v>270</v>
      </c>
      <c r="L218" s="64">
        <v>8.6800000000000002E-2</v>
      </c>
      <c r="M218" s="363" t="s">
        <v>57</v>
      </c>
      <c r="N218" s="65">
        <v>71</v>
      </c>
      <c r="O218" s="363" t="s">
        <v>59</v>
      </c>
      <c r="P218" s="65">
        <v>71</v>
      </c>
      <c r="Q218" s="363" t="s">
        <v>60</v>
      </c>
      <c r="R218" s="65">
        <v>142</v>
      </c>
      <c r="S218" s="363" t="s">
        <v>61</v>
      </c>
      <c r="T218" s="65">
        <v>29</v>
      </c>
      <c r="U218" s="363" t="s">
        <v>54</v>
      </c>
      <c r="V218" s="66" t="s">
        <v>119</v>
      </c>
      <c r="W218" s="463" t="s">
        <v>392</v>
      </c>
      <c r="X218" s="465">
        <v>1.1499999999999999</v>
      </c>
      <c r="Y218" s="463" t="s">
        <v>391</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375</v>
      </c>
      <c r="B223" s="359">
        <f>ROW(A223)</f>
        <v>223</v>
      </c>
      <c r="C223" s="363" t="s">
        <v>115</v>
      </c>
      <c r="D223" s="353">
        <f>SUM(B226:Y226)</f>
        <v>109.60639850000001</v>
      </c>
      <c r="E223" s="363" t="s">
        <v>114</v>
      </c>
      <c r="F223" s="354">
        <f>D223/g/J223</f>
        <v>194.31174666489383</v>
      </c>
      <c r="G223" s="363" t="s">
        <v>56</v>
      </c>
      <c r="H223" s="64">
        <v>0.14130000000000001</v>
      </c>
      <c r="I223" s="363" t="s">
        <v>269</v>
      </c>
      <c r="J223" s="355">
        <f>H223-L223</f>
        <v>5.7500000000000009E-2</v>
      </c>
      <c r="K223" s="363" t="s">
        <v>270</v>
      </c>
      <c r="L223" s="64">
        <v>8.3799999999999999E-2</v>
      </c>
      <c r="M223" s="363" t="s">
        <v>57</v>
      </c>
      <c r="N223" s="65">
        <v>71</v>
      </c>
      <c r="O223" s="363" t="s">
        <v>59</v>
      </c>
      <c r="P223" s="65">
        <v>71</v>
      </c>
      <c r="Q223" s="363" t="s">
        <v>60</v>
      </c>
      <c r="R223" s="65">
        <v>142</v>
      </c>
      <c r="S223" s="363" t="s">
        <v>61</v>
      </c>
      <c r="T223" s="65">
        <v>29</v>
      </c>
      <c r="U223" s="363" t="s">
        <v>54</v>
      </c>
      <c r="V223" s="66" t="s">
        <v>399</v>
      </c>
      <c r="W223" s="463" t="s">
        <v>392</v>
      </c>
      <c r="X223" s="465">
        <v>0.45</v>
      </c>
      <c r="Y223" s="463" t="s">
        <v>391</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376</v>
      </c>
      <c r="B228" s="359">
        <f>ROW(A228)</f>
        <v>228</v>
      </c>
      <c r="C228" s="363" t="s">
        <v>115</v>
      </c>
      <c r="D228" s="353">
        <f>SUM(B231:Y231)</f>
        <v>115.63</v>
      </c>
      <c r="E228" s="363" t="s">
        <v>114</v>
      </c>
      <c r="F228" s="354">
        <f>D228/g/J228</f>
        <v>199.77884897804037</v>
      </c>
      <c r="G228" s="363" t="s">
        <v>56</v>
      </c>
      <c r="H228" s="64">
        <v>0.14499999999999999</v>
      </c>
      <c r="I228" s="363" t="s">
        <v>269</v>
      </c>
      <c r="J228" s="355">
        <f>H228-L228</f>
        <v>5.8999999999999997E-2</v>
      </c>
      <c r="K228" s="363" t="s">
        <v>270</v>
      </c>
      <c r="L228" s="64">
        <v>8.5999999999999993E-2</v>
      </c>
      <c r="M228" s="363" t="s">
        <v>57</v>
      </c>
      <c r="N228" s="65">
        <v>71</v>
      </c>
      <c r="O228" s="363" t="s">
        <v>59</v>
      </c>
      <c r="P228" s="65">
        <v>71</v>
      </c>
      <c r="Q228" s="363" t="s">
        <v>60</v>
      </c>
      <c r="R228" s="65">
        <v>142</v>
      </c>
      <c r="S228" s="363" t="s">
        <v>61</v>
      </c>
      <c r="T228" s="65">
        <v>29</v>
      </c>
      <c r="U228" s="363" t="s">
        <v>54</v>
      </c>
      <c r="V228" s="66" t="s">
        <v>398</v>
      </c>
      <c r="W228" s="463" t="s">
        <v>392</v>
      </c>
      <c r="X228" s="465">
        <v>0.93</v>
      </c>
      <c r="Y228" s="463" t="s">
        <v>391</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384</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385</v>
      </c>
      <c r="B233" s="359">
        <f>ROW(A233)</f>
        <v>233</v>
      </c>
      <c r="C233" s="363" t="s">
        <v>115</v>
      </c>
      <c r="D233" s="353">
        <f>SUM(B236:Y236)</f>
        <v>115.63</v>
      </c>
      <c r="E233" s="363" t="s">
        <v>114</v>
      </c>
      <c r="F233" s="354">
        <f>D233/g/J233</f>
        <v>125.39310733728064</v>
      </c>
      <c r="G233" s="363" t="s">
        <v>56</v>
      </c>
      <c r="H233" s="64">
        <v>0.2</v>
      </c>
      <c r="I233" s="363" t="s">
        <v>269</v>
      </c>
      <c r="J233" s="355">
        <f>H233-L233</f>
        <v>9.4000000000000014E-2</v>
      </c>
      <c r="K233" s="363" t="s">
        <v>270</v>
      </c>
      <c r="L233" s="64">
        <v>0.106</v>
      </c>
      <c r="M233" s="363" t="s">
        <v>57</v>
      </c>
      <c r="N233" s="65">
        <v>93</v>
      </c>
      <c r="O233" s="363" t="s">
        <v>59</v>
      </c>
      <c r="P233" s="65">
        <v>93</v>
      </c>
      <c r="Q233" s="363" t="s">
        <v>60</v>
      </c>
      <c r="R233" s="65">
        <v>187</v>
      </c>
      <c r="S233" s="363" t="s">
        <v>61</v>
      </c>
      <c r="T233" s="65">
        <v>29</v>
      </c>
      <c r="U233" s="363" t="s">
        <v>54</v>
      </c>
      <c r="V233" s="66" t="s">
        <v>119</v>
      </c>
      <c r="W233" s="463" t="s">
        <v>392</v>
      </c>
      <c r="X233" s="465">
        <v>0.96</v>
      </c>
      <c r="Y233" s="463" t="s">
        <v>391</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390</v>
      </c>
      <c r="B238" s="359">
        <f>ROW(A238)</f>
        <v>238</v>
      </c>
      <c r="C238" s="363" t="s">
        <v>115</v>
      </c>
      <c r="D238" s="353">
        <f>SUM(B241:Y241)</f>
        <v>158.04815100000002</v>
      </c>
      <c r="E238" s="363" t="s">
        <v>114</v>
      </c>
      <c r="F238" s="354">
        <v>198</v>
      </c>
      <c r="G238" s="363" t="s">
        <v>56</v>
      </c>
      <c r="H238" s="64">
        <v>0.19450000000000001</v>
      </c>
      <c r="I238" s="363" t="s">
        <v>269</v>
      </c>
      <c r="J238" s="355">
        <f>H238-L238</f>
        <v>8.9600000000000013E-2</v>
      </c>
      <c r="K238" s="363" t="s">
        <v>270</v>
      </c>
      <c r="L238" s="64">
        <v>0.10489999999999999</v>
      </c>
      <c r="M238" s="363" t="s">
        <v>57</v>
      </c>
      <c r="N238" s="65">
        <v>93</v>
      </c>
      <c r="O238" s="363" t="s">
        <v>59</v>
      </c>
      <c r="P238" s="65">
        <v>93</v>
      </c>
      <c r="Q238" s="363" t="s">
        <v>60</v>
      </c>
      <c r="R238" s="65">
        <v>187</v>
      </c>
      <c r="S238" s="363" t="s">
        <v>61</v>
      </c>
      <c r="T238" s="65">
        <v>29</v>
      </c>
      <c r="U238" s="363" t="s">
        <v>54</v>
      </c>
      <c r="V238" s="66" t="s">
        <v>119</v>
      </c>
      <c r="W238" s="463" t="s">
        <v>392</v>
      </c>
      <c r="X238" s="465">
        <v>1.27</v>
      </c>
      <c r="Y238" s="463" t="s">
        <v>391</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372</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377</v>
      </c>
      <c r="B243" s="359">
        <f>ROW(A243)</f>
        <v>243</v>
      </c>
      <c r="C243" s="363" t="s">
        <v>115</v>
      </c>
      <c r="D243" s="353">
        <f>SUM(B246:Y246)</f>
        <v>136.75235000000001</v>
      </c>
      <c r="E243" s="363" t="s">
        <v>114</v>
      </c>
      <c r="F243" s="354">
        <f>D243/g/J243</f>
        <v>152.35078513616639</v>
      </c>
      <c r="G243" s="363" t="s">
        <v>56</v>
      </c>
      <c r="H243" s="64">
        <v>0.21249999999999999</v>
      </c>
      <c r="I243" s="363" t="s">
        <v>269</v>
      </c>
      <c r="J243" s="355">
        <f>H243-L243</f>
        <v>9.1499999999999998E-2</v>
      </c>
      <c r="K243" s="363" t="s">
        <v>270</v>
      </c>
      <c r="L243" s="64">
        <v>0.121</v>
      </c>
      <c r="M243" s="363" t="s">
        <v>57</v>
      </c>
      <c r="N243" s="65">
        <v>63</v>
      </c>
      <c r="O243" s="363" t="s">
        <v>59</v>
      </c>
      <c r="P243" s="65">
        <v>114</v>
      </c>
      <c r="Q243" s="363" t="s">
        <v>60</v>
      </c>
      <c r="R243" s="65">
        <v>127</v>
      </c>
      <c r="S243" s="363" t="s">
        <v>61</v>
      </c>
      <c r="T243" s="65">
        <v>38</v>
      </c>
      <c r="U243" s="363" t="s">
        <v>54</v>
      </c>
      <c r="V243" s="66" t="s">
        <v>119</v>
      </c>
      <c r="W243" s="463" t="s">
        <v>392</v>
      </c>
      <c r="X243" s="465">
        <v>2.36</v>
      </c>
      <c r="Y243" s="463" t="s">
        <v>391</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378</v>
      </c>
      <c r="B248" s="359">
        <f>ROW(A248)</f>
        <v>248</v>
      </c>
      <c r="C248" s="363" t="s">
        <v>115</v>
      </c>
      <c r="D248" s="353">
        <f>SUM(B251:Y251)</f>
        <v>127.06944999999999</v>
      </c>
      <c r="E248" s="363" t="s">
        <v>114</v>
      </c>
      <c r="F248" s="354">
        <f>D248/g/J248</f>
        <v>180.65624835614466</v>
      </c>
      <c r="G248" s="363" t="s">
        <v>56</v>
      </c>
      <c r="H248" s="64">
        <v>0.18840000000000001</v>
      </c>
      <c r="I248" s="363" t="s">
        <v>269</v>
      </c>
      <c r="J248" s="355">
        <f>H248-L248</f>
        <v>7.1700000000000014E-2</v>
      </c>
      <c r="K248" s="363" t="s">
        <v>270</v>
      </c>
      <c r="L248" s="64">
        <v>0.1167</v>
      </c>
      <c r="M248" s="363" t="s">
        <v>57</v>
      </c>
      <c r="N248" s="65">
        <v>63</v>
      </c>
      <c r="O248" s="363" t="s">
        <v>59</v>
      </c>
      <c r="P248" s="65">
        <v>114</v>
      </c>
      <c r="Q248" s="363" t="s">
        <v>60</v>
      </c>
      <c r="R248" s="65">
        <v>127</v>
      </c>
      <c r="S248" s="363" t="s">
        <v>61</v>
      </c>
      <c r="T248" s="65">
        <v>38</v>
      </c>
      <c r="U248" s="363" t="s">
        <v>54</v>
      </c>
      <c r="V248" s="66" t="s">
        <v>119</v>
      </c>
      <c r="W248" s="463" t="s">
        <v>392</v>
      </c>
      <c r="X248" s="465">
        <v>0.69</v>
      </c>
      <c r="Y248" s="463" t="s">
        <v>391</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386</v>
      </c>
      <c r="B253" s="359">
        <f>ROW(A253)</f>
        <v>253</v>
      </c>
      <c r="C253" s="363" t="s">
        <v>115</v>
      </c>
      <c r="D253" s="353">
        <f>SUM(B256:Y256)</f>
        <v>142.7236025</v>
      </c>
      <c r="E253" s="363" t="s">
        <v>114</v>
      </c>
      <c r="F253" s="354">
        <v>208</v>
      </c>
      <c r="G253" s="363" t="s">
        <v>56</v>
      </c>
      <c r="H253" s="64">
        <v>0.19700000000000001</v>
      </c>
      <c r="I253" s="363" t="s">
        <v>269</v>
      </c>
      <c r="J253" s="355">
        <f>H253-L253</f>
        <v>7.0000000000000007E-2</v>
      </c>
      <c r="K253" s="363" t="s">
        <v>270</v>
      </c>
      <c r="L253" s="64">
        <v>0.127</v>
      </c>
      <c r="M253" s="363" t="s">
        <v>57</v>
      </c>
      <c r="N253" s="65">
        <v>63</v>
      </c>
      <c r="O253" s="363" t="s">
        <v>59</v>
      </c>
      <c r="P253" s="65">
        <v>114</v>
      </c>
      <c r="Q253" s="363" t="s">
        <v>60</v>
      </c>
      <c r="R253" s="65">
        <v>127</v>
      </c>
      <c r="S253" s="363" t="s">
        <v>61</v>
      </c>
      <c r="T253" s="65">
        <v>38</v>
      </c>
      <c r="U253" s="363" t="s">
        <v>54</v>
      </c>
      <c r="V253" s="66" t="s">
        <v>119</v>
      </c>
      <c r="W253" s="463" t="s">
        <v>392</v>
      </c>
      <c r="X253" s="465">
        <v>1.8</v>
      </c>
      <c r="Y253" s="463" t="s">
        <v>391</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272</v>
      </c>
      <c r="B258" s="360">
        <f>ROW(A258)</f>
        <v>258</v>
      </c>
      <c r="C258" s="363" t="s">
        <v>115</v>
      </c>
      <c r="D258" s="353">
        <f>SUM(B261:Y261)</f>
        <v>33.500000000000007</v>
      </c>
      <c r="E258" s="363" t="s">
        <v>114</v>
      </c>
      <c r="F258" s="354">
        <f>D258/g/J258</f>
        <v>68.297655453618759</v>
      </c>
      <c r="G258" s="363" t="s">
        <v>56</v>
      </c>
      <c r="H258" s="64">
        <v>8.5000000000000006E-2</v>
      </c>
      <c r="I258" s="363" t="s">
        <v>269</v>
      </c>
      <c r="J258" s="355">
        <f>H258-L258</f>
        <v>0.05</v>
      </c>
      <c r="K258" s="363" t="s">
        <v>270</v>
      </c>
      <c r="L258" s="64">
        <v>3.5000000000000003E-2</v>
      </c>
      <c r="M258" s="363" t="s">
        <v>57</v>
      </c>
      <c r="N258" s="65">
        <v>20</v>
      </c>
      <c r="O258" s="363" t="s">
        <v>59</v>
      </c>
      <c r="P258" s="65">
        <v>20</v>
      </c>
      <c r="Q258" s="363" t="s">
        <v>60</v>
      </c>
      <c r="R258" s="65">
        <v>39</v>
      </c>
      <c r="S258" s="363" t="s">
        <v>61</v>
      </c>
      <c r="T258" s="65">
        <v>39</v>
      </c>
      <c r="U258" s="363" t="s">
        <v>54</v>
      </c>
      <c r="V258" s="66" t="s">
        <v>399</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273</v>
      </c>
      <c r="B263" s="359">
        <f>ROW(A263)</f>
        <v>263</v>
      </c>
      <c r="C263" s="363" t="s">
        <v>115</v>
      </c>
      <c r="D263" s="353">
        <f>SUM(B266:Y266)</f>
        <v>145.46</v>
      </c>
      <c r="E263" s="363" t="s">
        <v>114</v>
      </c>
      <c r="F263" s="354">
        <f>D263/g/J263</f>
        <v>211.82466870540264</v>
      </c>
      <c r="G263" s="363" t="s">
        <v>56</v>
      </c>
      <c r="H263" s="64">
        <v>0.22</v>
      </c>
      <c r="I263" s="363" t="s">
        <v>269</v>
      </c>
      <c r="J263" s="355">
        <f>H263-L263</f>
        <v>7.0000000000000007E-2</v>
      </c>
      <c r="K263" s="363" t="s">
        <v>270</v>
      </c>
      <c r="L263" s="64">
        <v>0.15</v>
      </c>
      <c r="M263" s="363" t="s">
        <v>57</v>
      </c>
      <c r="N263" s="65">
        <v>50</v>
      </c>
      <c r="O263" s="363" t="s">
        <v>59</v>
      </c>
      <c r="P263" s="65">
        <v>55</v>
      </c>
      <c r="Q263" s="363" t="s">
        <v>60</v>
      </c>
      <c r="R263" s="65">
        <v>76</v>
      </c>
      <c r="S263" s="363" t="s">
        <v>61</v>
      </c>
      <c r="T263" s="65">
        <v>40</v>
      </c>
      <c r="U263" s="363" t="s">
        <v>54</v>
      </c>
      <c r="V263" s="66" t="s">
        <v>399</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311</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269</v>
      </c>
      <c r="J269" s="355">
        <f>H269-L269</f>
        <v>0.66999999999999993</v>
      </c>
      <c r="K269" s="363" t="s">
        <v>270</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269</v>
      </c>
      <c r="J274" s="355">
        <f>H274-L274</f>
        <v>1.23</v>
      </c>
      <c r="K274" s="363" t="s">
        <v>270</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547</v>
      </c>
      <c r="B279" s="359">
        <f>ROW(A279)</f>
        <v>279</v>
      </c>
      <c r="C279" s="363" t="s">
        <v>115</v>
      </c>
      <c r="D279" s="353">
        <f>SUM(B282:Y282)</f>
        <v>2058.37</v>
      </c>
      <c r="E279" s="363" t="s">
        <v>114</v>
      </c>
      <c r="F279" s="354">
        <f>D279/g/J279</f>
        <v>203.12066731598335</v>
      </c>
      <c r="G279" s="363" t="s">
        <v>56</v>
      </c>
      <c r="H279" s="64">
        <v>1.6850000000000001</v>
      </c>
      <c r="I279" s="363" t="s">
        <v>269</v>
      </c>
      <c r="J279" s="355">
        <f>H279-L279</f>
        <v>1.0329999999999999</v>
      </c>
      <c r="K279" s="363" t="s">
        <v>270</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550</v>
      </c>
      <c r="B284" s="359">
        <f>ROW(A284)</f>
        <v>284</v>
      </c>
      <c r="C284" s="363" t="s">
        <v>115</v>
      </c>
      <c r="D284" s="353">
        <f>SUM(B287:Y287)</f>
        <v>1998.2428999999995</v>
      </c>
      <c r="E284" s="363" t="s">
        <v>114</v>
      </c>
      <c r="F284" s="354">
        <f>D284/g/J284</f>
        <v>207.42819268753979</v>
      </c>
      <c r="G284" s="363" t="s">
        <v>56</v>
      </c>
      <c r="H284" s="64">
        <v>1.6319999999999999</v>
      </c>
      <c r="I284" s="363" t="s">
        <v>269</v>
      </c>
      <c r="J284" s="355">
        <f>H284-L284</f>
        <v>0.98199999999999987</v>
      </c>
      <c r="K284" s="363" t="s">
        <v>270</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548</v>
      </c>
      <c r="B289" s="359">
        <f>ROW(A289)</f>
        <v>289</v>
      </c>
      <c r="C289" s="363" t="s">
        <v>115</v>
      </c>
      <c r="D289" s="353">
        <f>SUM(B292:Y292)</f>
        <v>3739.0284999999994</v>
      </c>
      <c r="E289" s="363" t="s">
        <v>114</v>
      </c>
      <c r="F289" s="354">
        <f>D289/g/J289</f>
        <v>203.4941790441234</v>
      </c>
      <c r="G289" s="363" t="s">
        <v>56</v>
      </c>
      <c r="H289" s="64">
        <v>3.5110000000000001</v>
      </c>
      <c r="I289" s="363" t="s">
        <v>269</v>
      </c>
      <c r="J289" s="355">
        <f>H289-L289</f>
        <v>1.8730000000000002</v>
      </c>
      <c r="K289" s="363" t="s">
        <v>270</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554</v>
      </c>
      <c r="B294" s="359">
        <f>ROW(A294)</f>
        <v>294</v>
      </c>
      <c r="C294" s="363" t="s">
        <v>115</v>
      </c>
      <c r="D294" s="353">
        <f>SUM(B297:Y297)</f>
        <v>14273.976008499998</v>
      </c>
      <c r="E294" s="363" t="s">
        <v>114</v>
      </c>
      <c r="F294" s="354">
        <f>D294/g/J294</f>
        <v>169.50645688990159</v>
      </c>
      <c r="G294" s="363" t="s">
        <v>56</v>
      </c>
      <c r="H294" s="64">
        <v>13.247999999999999</v>
      </c>
      <c r="I294" s="363" t="s">
        <v>269</v>
      </c>
      <c r="J294" s="355">
        <f>H294-L294</f>
        <v>8.5839999999999996</v>
      </c>
      <c r="K294" s="363" t="s">
        <v>270</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316</v>
      </c>
      <c r="B299" s="359">
        <f>ROW(A299)</f>
        <v>299</v>
      </c>
      <c r="C299" s="363" t="s">
        <v>115</v>
      </c>
      <c r="D299" s="353">
        <f>SUM(B302:Y302)</f>
        <v>7412.4371409999985</v>
      </c>
      <c r="E299" s="363" t="s">
        <v>114</v>
      </c>
      <c r="F299" s="354">
        <f>D299/g/J299</f>
        <v>223.28608637999045</v>
      </c>
      <c r="G299" s="363" t="s">
        <v>56</v>
      </c>
      <c r="H299" s="64">
        <v>6.25</v>
      </c>
      <c r="I299" s="363" t="s">
        <v>269</v>
      </c>
      <c r="J299" s="355">
        <f>H299-L299</f>
        <v>3.3839999999999999</v>
      </c>
      <c r="K299" s="363" t="s">
        <v>270</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549</v>
      </c>
      <c r="B304" s="359">
        <f>ROW(A304)</f>
        <v>304</v>
      </c>
      <c r="C304" s="363" t="s">
        <v>115</v>
      </c>
      <c r="D304" s="353">
        <f>SUM(B307:Y307)</f>
        <v>17734.977350500001</v>
      </c>
      <c r="E304" s="363" t="s">
        <v>114</v>
      </c>
      <c r="F304" s="354">
        <f>D304/g/J304</f>
        <v>192.73420306179892</v>
      </c>
      <c r="G304" s="363" t="s">
        <v>56</v>
      </c>
      <c r="H304" s="64">
        <v>14.747999999999999</v>
      </c>
      <c r="I304" s="363" t="s">
        <v>269</v>
      </c>
      <c r="J304" s="355">
        <f>H304-L304</f>
        <v>9.379999999999999</v>
      </c>
      <c r="K304" s="363" t="s">
        <v>270</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269</v>
      </c>
      <c r="J309" s="355">
        <f>H309-L309</f>
        <v>1E-4</v>
      </c>
      <c r="K309" s="363" t="s">
        <v>270</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40" t="s">
        <v>274</v>
      </c>
      <c r="D316" s="641"/>
      <c r="F316" s="640" t="s">
        <v>181</v>
      </c>
      <c r="G316" s="641"/>
      <c r="H316" s="12"/>
      <c r="I316" s="640" t="s">
        <v>395</v>
      </c>
      <c r="J316" s="641"/>
      <c r="K316" s="12"/>
      <c r="L316" s="640" t="s">
        <v>182</v>
      </c>
      <c r="M316" s="641"/>
      <c r="O316" s="640" t="s">
        <v>394</v>
      </c>
      <c r="P316" s="641"/>
      <c r="R316" s="640" t="s">
        <v>118</v>
      </c>
      <c r="S316" s="641"/>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2" t="str">
        <f>A26</f>
        <v>H2O 1.5L 300g 6bar</v>
      </c>
      <c r="D317" s="643"/>
      <c r="F317" s="642" t="str">
        <f>A67</f>
        <v>µ-propu A8-3</v>
      </c>
      <c r="G317" s="643"/>
      <c r="H317" s="472"/>
      <c r="I317" s="644" t="str">
        <f>A148</f>
        <v>p29-1G 56F31</v>
      </c>
      <c r="J317" s="645"/>
      <c r="K317" s="472"/>
      <c r="L317" s="644" t="str">
        <f>A158</f>
        <v>p29-1G 57F59</v>
      </c>
      <c r="M317" s="645"/>
      <c r="O317" s="642" t="str">
        <f>A108</f>
        <v>p24-1G 24E22</v>
      </c>
      <c r="P317" s="643"/>
      <c r="R317" s="642" t="str">
        <f>A284</f>
        <v>Pro54-5G WT</v>
      </c>
      <c r="S317" s="643"/>
    </row>
    <row r="318" spans="1:25" x14ac:dyDescent="0.2">
      <c r="A318" s="398" t="str">
        <v>Barasinga (Pro54-5G C)</v>
      </c>
      <c r="C318" s="642" t="str">
        <f>A31</f>
        <v>H2O 1.5L 450g 6bar</v>
      </c>
      <c r="D318" s="643"/>
      <c r="F318" s="642" t="str">
        <f>A72</f>
        <v>µ-propu B4-4</v>
      </c>
      <c r="G318" s="643"/>
      <c r="H318" s="472"/>
      <c r="I318" s="644" t="str">
        <f>A153</f>
        <v>p29-1G 56F120</v>
      </c>
      <c r="J318" s="645"/>
      <c r="K318" s="472"/>
      <c r="L318" s="644" t="str">
        <f>A183</f>
        <v>p24-3G 74F85</v>
      </c>
      <c r="M318" s="645"/>
      <c r="O318" s="642" t="str">
        <f>A113</f>
        <v>p24-1G 25E75 (Rufina)</v>
      </c>
      <c r="P318" s="643"/>
      <c r="R318" s="642" t="str">
        <f>A279</f>
        <v>Barasinga (Pro54-5G C)</v>
      </c>
      <c r="S318" s="643"/>
    </row>
    <row r="319" spans="1:25" x14ac:dyDescent="0.2">
      <c r="A319" s="398" t="str">
        <v>Orignal (Pro75-3G C)</v>
      </c>
      <c r="C319" s="642" t="str">
        <f>A36</f>
        <v>H2O 1.5L 600g 6bar</v>
      </c>
      <c r="D319" s="643"/>
      <c r="F319" s="642" t="str">
        <f>A77</f>
        <v>µ-propu C6-3</v>
      </c>
      <c r="G319" s="643"/>
      <c r="H319" s="472"/>
      <c r="I319" s="644" t="str">
        <f>A158</f>
        <v>p29-1G 57F59</v>
      </c>
      <c r="J319" s="645"/>
      <c r="K319" s="472"/>
      <c r="L319" s="644" t="str">
        <f>A188</f>
        <v>p24-3G 75F51</v>
      </c>
      <c r="M319" s="645"/>
      <c r="O319" s="642" t="str">
        <f>A118</f>
        <v>p24-1G 26E31</v>
      </c>
      <c r="P319" s="643"/>
      <c r="R319" s="642" t="str">
        <f>A289</f>
        <v>Orignal (Pro75-3G C)</v>
      </c>
      <c r="S319" s="643"/>
    </row>
    <row r="320" spans="1:25" x14ac:dyDescent="0.2">
      <c r="A320" s="398" t="str">
        <v>Pro98-6G Green</v>
      </c>
      <c r="C320" s="642" t="str">
        <f>A41</f>
        <v>H2O 1.5L 750g 6bar</v>
      </c>
      <c r="D320" s="643"/>
      <c r="F320" s="642" t="str">
        <f>A82</f>
        <v>µ-propu C6-3 x2</v>
      </c>
      <c r="G320" s="643"/>
      <c r="H320" s="472"/>
      <c r="I320" s="644" t="str">
        <f>A183</f>
        <v>p24-3G 74F85</v>
      </c>
      <c r="J320" s="645"/>
      <c r="K320" s="472"/>
      <c r="L320" s="644" t="str">
        <f>A228</f>
        <v>p29-2G 116G126</v>
      </c>
      <c r="M320" s="645"/>
      <c r="O320" s="642" t="str">
        <f>A123</f>
        <v>p24-2G 50E51</v>
      </c>
      <c r="P320" s="643"/>
      <c r="R320" s="642" t="str">
        <f>A294</f>
        <v>Pro98-6G Green</v>
      </c>
      <c r="S320" s="643"/>
    </row>
    <row r="321" spans="1:19" x14ac:dyDescent="0.2">
      <c r="A321" s="398" t="str">
        <v xml:space="preserve"> </v>
      </c>
      <c r="C321" s="642" t="str">
        <f>A46</f>
        <v>H2O 2.0L 400g 6bar</v>
      </c>
      <c r="D321" s="643"/>
      <c r="F321" s="642" t="str">
        <f>A87</f>
        <v>µ-propu C6-3 x3</v>
      </c>
      <c r="G321" s="643"/>
      <c r="H321" s="472"/>
      <c r="I321" s="644" t="str">
        <f>A188</f>
        <v>p24-3G 75F51</v>
      </c>
      <c r="J321" s="645"/>
      <c r="K321" s="472"/>
      <c r="L321" s="644" t="str">
        <f>A198</f>
        <v>Pandora (Pro24-6G BS)</v>
      </c>
      <c r="M321" s="645"/>
      <c r="O321" s="642" t="str">
        <f>A128</f>
        <v>p24-1G 53E70</v>
      </c>
      <c r="P321" s="643"/>
      <c r="R321" s="642" t="s">
        <v>183</v>
      </c>
      <c r="S321" s="643"/>
    </row>
    <row r="322" spans="1:19" x14ac:dyDescent="0.2">
      <c r="A322" s="398" t="str">
        <v xml:space="preserve"> </v>
      </c>
      <c r="C322" s="642" t="str">
        <f>A51</f>
        <v>H2O 2.0L 600g 6bar</v>
      </c>
      <c r="D322" s="643"/>
      <c r="F322" s="642" t="s">
        <v>183</v>
      </c>
      <c r="G322" s="643"/>
      <c r="H322" s="472"/>
      <c r="I322" s="644" t="s">
        <v>183</v>
      </c>
      <c r="J322" s="645"/>
      <c r="K322" s="472"/>
      <c r="L322" s="642" t="str">
        <f>A92</f>
        <v>Klima D9-7</v>
      </c>
      <c r="M322" s="643"/>
      <c r="O322" s="642" t="str">
        <f>A133</f>
        <v>p29-1G 41F36</v>
      </c>
      <c r="P322" s="643"/>
      <c r="R322" s="642" t="s">
        <v>183</v>
      </c>
      <c r="S322" s="643"/>
    </row>
    <row r="323" spans="1:19" x14ac:dyDescent="0.2">
      <c r="A323" s="398" t="str">
        <v xml:space="preserve"> </v>
      </c>
      <c r="C323" s="642" t="str">
        <f>A56</f>
        <v>H2O 2.0L 800g 6bar</v>
      </c>
      <c r="D323" s="643"/>
      <c r="F323" s="642" t="s">
        <v>183</v>
      </c>
      <c r="G323" s="643"/>
      <c r="H323" s="472"/>
      <c r="I323" s="644" t="s">
        <v>183</v>
      </c>
      <c r="J323" s="645"/>
      <c r="K323" s="472"/>
      <c r="L323" s="642" t="str">
        <f>A97</f>
        <v>Klima D9-7 x2</v>
      </c>
      <c r="M323" s="643"/>
      <c r="O323" s="642" t="str">
        <f>A138</f>
        <v>p29-1G 51F36</v>
      </c>
      <c r="P323" s="643"/>
      <c r="R323" s="642" t="s">
        <v>183</v>
      </c>
      <c r="S323" s="643"/>
    </row>
    <row r="324" spans="1:19" x14ac:dyDescent="0.2">
      <c r="A324" s="398" t="str">
        <v xml:space="preserve"> </v>
      </c>
      <c r="C324" s="642" t="str">
        <f>A61</f>
        <v>H2O 2.0L 1000g 6bar</v>
      </c>
      <c r="D324" s="643"/>
      <c r="F324" s="642" t="s">
        <v>183</v>
      </c>
      <c r="G324" s="643"/>
      <c r="H324" s="472"/>
      <c r="I324" s="644" t="s">
        <v>183</v>
      </c>
      <c r="J324" s="645"/>
      <c r="K324" s="472"/>
      <c r="L324" s="642" t="str">
        <f>A102</f>
        <v>Klima D9-7 x3</v>
      </c>
      <c r="M324" s="643"/>
      <c r="O324" s="642" t="str">
        <f>A143</f>
        <v>p29-1G 55F29</v>
      </c>
      <c r="P324" s="643"/>
      <c r="R324" s="642" t="s">
        <v>183</v>
      </c>
      <c r="S324" s="643"/>
    </row>
    <row r="325" spans="1:19" x14ac:dyDescent="0.2">
      <c r="A325" s="398" t="str">
        <v xml:space="preserve"> </v>
      </c>
      <c r="C325" s="642" t="s">
        <v>183</v>
      </c>
      <c r="D325" s="643"/>
      <c r="F325" s="642" t="s">
        <v>183</v>
      </c>
      <c r="G325" s="643"/>
      <c r="H325" s="472"/>
      <c r="I325" s="644" t="s">
        <v>183</v>
      </c>
      <c r="J325" s="645"/>
      <c r="K325" s="472"/>
      <c r="L325" s="642" t="s">
        <v>183</v>
      </c>
      <c r="M325" s="643"/>
      <c r="O325" s="642" t="str">
        <f>A153</f>
        <v>p29-1G 56F120</v>
      </c>
      <c r="P325" s="643"/>
      <c r="R325" s="642" t="s">
        <v>183</v>
      </c>
      <c r="S325" s="643"/>
    </row>
    <row r="326" spans="1:19" x14ac:dyDescent="0.2">
      <c r="A326" s="398" t="str">
        <v xml:space="preserve"> </v>
      </c>
      <c r="C326" s="642" t="s">
        <v>183</v>
      </c>
      <c r="D326" s="643"/>
      <c r="F326" s="642" t="s">
        <v>183</v>
      </c>
      <c r="G326" s="643"/>
      <c r="H326" s="472"/>
      <c r="I326" s="644" t="s">
        <v>183</v>
      </c>
      <c r="J326" s="645"/>
      <c r="K326" s="472"/>
      <c r="L326" s="642" t="s">
        <v>183</v>
      </c>
      <c r="M326" s="643"/>
      <c r="O326" s="642" t="str">
        <f>A158</f>
        <v>p29-1G 57F59</v>
      </c>
      <c r="P326" s="643"/>
      <c r="R326" s="642" t="s">
        <v>183</v>
      </c>
      <c r="S326" s="643"/>
    </row>
    <row r="327" spans="1:19" x14ac:dyDescent="0.2">
      <c r="A327" s="398" t="str">
        <v xml:space="preserve"> </v>
      </c>
      <c r="C327" s="642" t="s">
        <v>183</v>
      </c>
      <c r="D327" s="643"/>
      <c r="F327" s="642" t="s">
        <v>183</v>
      </c>
      <c r="G327" s="643"/>
      <c r="H327" s="472"/>
      <c r="I327" s="644" t="s">
        <v>183</v>
      </c>
      <c r="J327" s="645"/>
      <c r="K327" s="472"/>
      <c r="L327" s="642" t="s">
        <v>183</v>
      </c>
      <c r="M327" s="643"/>
      <c r="O327" s="642" t="str">
        <f>A163</f>
        <v>p24-3G 60F50</v>
      </c>
      <c r="P327" s="643"/>
      <c r="R327" s="642" t="s">
        <v>183</v>
      </c>
      <c r="S327" s="643"/>
    </row>
    <row r="328" spans="1:19" x14ac:dyDescent="0.2">
      <c r="A328" s="398" t="str">
        <v xml:space="preserve"> </v>
      </c>
      <c r="C328" s="642" t="s">
        <v>183</v>
      </c>
      <c r="D328" s="643"/>
      <c r="F328" s="642" t="s">
        <v>183</v>
      </c>
      <c r="G328" s="643"/>
      <c r="H328" s="472"/>
      <c r="I328" s="644" t="s">
        <v>183</v>
      </c>
      <c r="J328" s="645"/>
      <c r="K328" s="472"/>
      <c r="L328" s="642" t="s">
        <v>183</v>
      </c>
      <c r="M328" s="643"/>
      <c r="O328" s="642" t="str">
        <f>A168</f>
        <v>p24-3G 68F79</v>
      </c>
      <c r="P328" s="643"/>
      <c r="R328" s="642" t="s">
        <v>183</v>
      </c>
      <c r="S328" s="643"/>
    </row>
    <row r="329" spans="1:19" x14ac:dyDescent="0.2">
      <c r="A329" s="398" t="str">
        <v xml:space="preserve"> </v>
      </c>
      <c r="C329" s="642" t="s">
        <v>183</v>
      </c>
      <c r="D329" s="643"/>
      <c r="F329" s="642" t="s">
        <v>183</v>
      </c>
      <c r="G329" s="643"/>
      <c r="H329" s="472"/>
      <c r="I329" s="644" t="s">
        <v>183</v>
      </c>
      <c r="J329" s="645"/>
      <c r="K329" s="472"/>
      <c r="L329" s="642" t="s">
        <v>183</v>
      </c>
      <c r="M329" s="643"/>
      <c r="O329" s="642" t="str">
        <f>A173</f>
        <v>p24-3G 68F240</v>
      </c>
      <c r="P329" s="643"/>
      <c r="R329" s="642" t="s">
        <v>183</v>
      </c>
      <c r="S329" s="643"/>
    </row>
    <row r="330" spans="1:19" x14ac:dyDescent="0.2">
      <c r="A330" s="398" t="str">
        <v xml:space="preserve"> </v>
      </c>
      <c r="C330" s="642" t="s">
        <v>183</v>
      </c>
      <c r="D330" s="643"/>
      <c r="F330" s="642" t="s">
        <v>183</v>
      </c>
      <c r="G330" s="643"/>
      <c r="H330" s="472"/>
      <c r="I330" s="644" t="s">
        <v>183</v>
      </c>
      <c r="J330" s="645"/>
      <c r="K330" s="472"/>
      <c r="L330" s="642" t="s">
        <v>183</v>
      </c>
      <c r="M330" s="643"/>
      <c r="O330" s="642" t="str">
        <f>A178</f>
        <v>p24-3G 73F30</v>
      </c>
      <c r="P330" s="643"/>
      <c r="R330" s="642" t="s">
        <v>183</v>
      </c>
      <c r="S330" s="643"/>
    </row>
    <row r="331" spans="1:19" x14ac:dyDescent="0.2">
      <c r="A331" s="398" t="str">
        <v xml:space="preserve"> </v>
      </c>
      <c r="C331" s="642" t="s">
        <v>183</v>
      </c>
      <c r="D331" s="643"/>
      <c r="F331" s="642" t="s">
        <v>183</v>
      </c>
      <c r="G331" s="643"/>
      <c r="H331" s="472"/>
      <c r="I331" s="648" t="s">
        <v>183</v>
      </c>
      <c r="J331" s="649"/>
      <c r="K331" s="472"/>
      <c r="L331" s="642" t="s">
        <v>183</v>
      </c>
      <c r="M331" s="643"/>
      <c r="O331" s="642" t="str">
        <f>A183</f>
        <v>p24-3G 74F85</v>
      </c>
      <c r="P331" s="643"/>
      <c r="R331" s="642" t="s">
        <v>183</v>
      </c>
      <c r="S331" s="643"/>
    </row>
    <row r="332" spans="1:19" x14ac:dyDescent="0.2">
      <c r="A332" s="462" t="str">
        <v xml:space="preserve"> </v>
      </c>
      <c r="C332" s="646" t="s">
        <v>183</v>
      </c>
      <c r="D332" s="647"/>
      <c r="F332" s="646" t="s">
        <v>183</v>
      </c>
      <c r="G332" s="647"/>
      <c r="H332" s="472"/>
      <c r="I332" s="646" t="s">
        <v>183</v>
      </c>
      <c r="J332" s="647"/>
      <c r="K332" s="472"/>
      <c r="L332" s="646" t="s">
        <v>183</v>
      </c>
      <c r="M332" s="647"/>
      <c r="O332" s="642" t="str">
        <f>A188</f>
        <v>p24-3G 75F51</v>
      </c>
      <c r="P332" s="643"/>
      <c r="R332" s="646" t="s">
        <v>183</v>
      </c>
      <c r="S332" s="647"/>
    </row>
    <row r="333" spans="1:19" x14ac:dyDescent="0.2">
      <c r="A333" s="398" t="str">
        <v xml:space="preserve"> </v>
      </c>
      <c r="C333" s="637" t="s">
        <v>183</v>
      </c>
      <c r="D333" s="637"/>
      <c r="F333" s="637" t="s">
        <v>183</v>
      </c>
      <c r="G333" s="637"/>
      <c r="I333" s="639" t="s">
        <v>183</v>
      </c>
      <c r="J333" s="639"/>
      <c r="L333" s="639" t="s">
        <v>183</v>
      </c>
      <c r="M333" s="639"/>
      <c r="O333" s="642" t="str">
        <f>A213</f>
        <v>p29-2G 84G88</v>
      </c>
      <c r="P333" s="643"/>
      <c r="R333" s="651" t="s">
        <v>183</v>
      </c>
      <c r="S333" s="651"/>
    </row>
    <row r="334" spans="1:19" x14ac:dyDescent="0.2">
      <c r="A334" s="398" t="str">
        <v>Isard</v>
      </c>
      <c r="C334" s="638" t="s">
        <v>183</v>
      </c>
      <c r="D334" s="638"/>
      <c r="F334" s="638" t="s">
        <v>183</v>
      </c>
      <c r="G334" s="638"/>
      <c r="I334" s="639" t="s">
        <v>183</v>
      </c>
      <c r="J334" s="639"/>
      <c r="L334" s="639" t="s">
        <v>183</v>
      </c>
      <c r="M334" s="639"/>
      <c r="O334" s="642" t="str">
        <f>A218</f>
        <v>p29-2G 93G80</v>
      </c>
      <c r="P334" s="643"/>
      <c r="R334" s="650" t="str">
        <f>A269</f>
        <v>Isard</v>
      </c>
      <c r="S334" s="650"/>
    </row>
    <row r="335" spans="1:19" x14ac:dyDescent="0.2">
      <c r="A335" s="398" t="str">
        <v>Chamois</v>
      </c>
      <c r="C335" s="638" t="s">
        <v>183</v>
      </c>
      <c r="D335" s="638"/>
      <c r="F335" s="638" t="s">
        <v>183</v>
      </c>
      <c r="G335" s="638"/>
      <c r="I335" s="639" t="s">
        <v>183</v>
      </c>
      <c r="J335" s="639"/>
      <c r="L335" s="639" t="s">
        <v>183</v>
      </c>
      <c r="M335" s="639"/>
      <c r="O335" s="642" t="str">
        <f>A223</f>
        <v>p29-2G 110G250</v>
      </c>
      <c r="P335" s="643"/>
      <c r="R335" s="650" t="str">
        <f>A274</f>
        <v>Chamois</v>
      </c>
      <c r="S335" s="650"/>
    </row>
    <row r="336" spans="1:19" x14ac:dyDescent="0.2">
      <c r="A336" s="398" t="str">
        <v>Pro54-5G WT</v>
      </c>
      <c r="C336" s="638" t="s">
        <v>183</v>
      </c>
      <c r="D336" s="638"/>
      <c r="F336" s="638" t="s">
        <v>183</v>
      </c>
      <c r="G336" s="638"/>
      <c r="I336" s="639" t="s">
        <v>183</v>
      </c>
      <c r="J336" s="639"/>
      <c r="L336" s="639" t="s">
        <v>183</v>
      </c>
      <c r="M336" s="639"/>
      <c r="O336" s="642" t="str">
        <f>A228</f>
        <v>p29-2G 116G126</v>
      </c>
      <c r="P336" s="643"/>
      <c r="R336" s="650" t="str">
        <f>A284</f>
        <v>Pro54-5G WT</v>
      </c>
      <c r="S336" s="650"/>
    </row>
    <row r="337" spans="1:19" x14ac:dyDescent="0.2">
      <c r="A337" s="398" t="str">
        <v>Pro98-6G Green</v>
      </c>
      <c r="C337" s="638" t="s">
        <v>183</v>
      </c>
      <c r="D337" s="638"/>
      <c r="F337" s="638" t="s">
        <v>183</v>
      </c>
      <c r="G337" s="638"/>
      <c r="I337" s="639" t="s">
        <v>183</v>
      </c>
      <c r="J337" s="639"/>
      <c r="L337" s="639" t="s">
        <v>183</v>
      </c>
      <c r="M337" s="639"/>
      <c r="O337" s="642" t="str">
        <f>A233</f>
        <v>p29-3G 125G131</v>
      </c>
      <c r="P337" s="643"/>
      <c r="R337" s="650" t="str">
        <f>A294</f>
        <v>Pro98-6G Green</v>
      </c>
      <c r="S337" s="650"/>
    </row>
    <row r="338" spans="1:19" x14ac:dyDescent="0.2">
      <c r="A338" s="398" t="str">
        <v>Pro98-3G WT</v>
      </c>
      <c r="C338" s="638" t="s">
        <v>183</v>
      </c>
      <c r="D338" s="638"/>
      <c r="F338" s="638" t="s">
        <v>183</v>
      </c>
      <c r="G338" s="638"/>
      <c r="I338" s="639" t="s">
        <v>183</v>
      </c>
      <c r="J338" s="639"/>
      <c r="L338" s="639" t="s">
        <v>183</v>
      </c>
      <c r="M338" s="639"/>
      <c r="O338" s="642" t="str">
        <f>A248</f>
        <v>p38-1G 128G185</v>
      </c>
      <c r="P338" s="643"/>
      <c r="R338" s="650" t="str">
        <f>A299</f>
        <v>Pro98-3G WT</v>
      </c>
      <c r="S338" s="650"/>
    </row>
    <row r="339" spans="1:19" x14ac:dyDescent="0.2">
      <c r="A339" s="398" t="str">
        <v>Aucun (2e ét. inerte)</v>
      </c>
      <c r="C339" s="638" t="s">
        <v>183</v>
      </c>
      <c r="D339" s="638"/>
      <c r="F339" s="638" t="s">
        <v>183</v>
      </c>
      <c r="G339" s="638"/>
      <c r="I339" s="639" t="s">
        <v>183</v>
      </c>
      <c r="J339" s="639"/>
      <c r="L339" s="639" t="s">
        <v>183</v>
      </c>
      <c r="M339" s="639"/>
      <c r="O339" s="642" t="str">
        <f>A243</f>
        <v>p38-1G 137G58</v>
      </c>
      <c r="P339" s="643"/>
      <c r="R339" s="650" t="str">
        <f>A309</f>
        <v>Aucun (2e ét. inerte)</v>
      </c>
      <c r="S339" s="650"/>
    </row>
    <row r="340" spans="1:19" x14ac:dyDescent="0.2">
      <c r="A340" s="398" t="str">
        <v xml:space="preserve"> </v>
      </c>
      <c r="C340" s="638" t="s">
        <v>183</v>
      </c>
      <c r="D340" s="638"/>
      <c r="F340" s="638" t="s">
        <v>183</v>
      </c>
      <c r="G340" s="638"/>
      <c r="I340" s="639" t="s">
        <v>183</v>
      </c>
      <c r="J340" s="639"/>
      <c r="L340" s="639" t="s">
        <v>183</v>
      </c>
      <c r="M340" s="639"/>
      <c r="O340" s="642" t="str">
        <f>A253</f>
        <v>p38-1G 141G78</v>
      </c>
      <c r="P340" s="643"/>
      <c r="R340" s="639" t="s">
        <v>183</v>
      </c>
      <c r="S340" s="639"/>
    </row>
    <row r="341" spans="1:19" x14ac:dyDescent="0.2">
      <c r="A341" s="398" t="str">
        <v xml:space="preserve"> </v>
      </c>
      <c r="C341" s="638" t="s">
        <v>183</v>
      </c>
      <c r="D341" s="638"/>
      <c r="F341" s="638" t="s">
        <v>183</v>
      </c>
      <c r="G341" s="638"/>
      <c r="I341" s="638" t="s">
        <v>183</v>
      </c>
      <c r="J341" s="638"/>
      <c r="L341" s="639" t="s">
        <v>183</v>
      </c>
      <c r="M341" s="639"/>
      <c r="O341" s="642" t="str">
        <f>A193</f>
        <v>p24-6G 140G145 PK</v>
      </c>
      <c r="P341" s="643"/>
      <c r="R341" s="638" t="s">
        <v>183</v>
      </c>
      <c r="S341" s="638"/>
    </row>
    <row r="342" spans="1:19" x14ac:dyDescent="0.2">
      <c r="A342" s="398" t="str">
        <v xml:space="preserve"> </v>
      </c>
      <c r="C342" s="638" t="s">
        <v>183</v>
      </c>
      <c r="D342" s="638"/>
      <c r="F342" s="638" t="s">
        <v>183</v>
      </c>
      <c r="G342" s="638"/>
      <c r="I342" s="638" t="s">
        <v>183</v>
      </c>
      <c r="J342" s="638"/>
      <c r="L342" s="639" t="s">
        <v>183</v>
      </c>
      <c r="M342" s="639"/>
      <c r="O342" s="642" t="str">
        <f>A198</f>
        <v>Pandora (Pro24-6G BS)</v>
      </c>
      <c r="P342" s="643"/>
      <c r="R342" s="638" t="s">
        <v>183</v>
      </c>
      <c r="S342" s="638"/>
    </row>
    <row r="343" spans="1:19" x14ac:dyDescent="0.2">
      <c r="A343" s="398" t="str">
        <v xml:space="preserve"> </v>
      </c>
      <c r="C343" s="638" t="s">
        <v>183</v>
      </c>
      <c r="D343" s="638"/>
      <c r="F343" s="638" t="s">
        <v>183</v>
      </c>
      <c r="G343" s="638"/>
      <c r="I343" s="638" t="s">
        <v>183</v>
      </c>
      <c r="J343" s="638"/>
      <c r="L343" s="638" t="s">
        <v>183</v>
      </c>
      <c r="M343" s="638"/>
      <c r="O343" s="644" t="str">
        <f>A203</f>
        <v>p24-6G 142G117 WT</v>
      </c>
      <c r="P343" s="645"/>
      <c r="R343" s="638" t="s">
        <v>183</v>
      </c>
      <c r="S343" s="638"/>
    </row>
    <row r="344" spans="1:19" x14ac:dyDescent="0.2">
      <c r="A344" s="398" t="str">
        <v xml:space="preserve"> </v>
      </c>
      <c r="C344" s="638" t="s">
        <v>183</v>
      </c>
      <c r="D344" s="638"/>
      <c r="F344" s="638" t="s">
        <v>183</v>
      </c>
      <c r="G344" s="638"/>
      <c r="I344" s="638" t="s">
        <v>183</v>
      </c>
      <c r="J344" s="638"/>
      <c r="L344" s="638" t="s">
        <v>183</v>
      </c>
      <c r="M344" s="638"/>
      <c r="O344" s="644" t="str">
        <f>A208</f>
        <v>p24-6G 139G107 DT</v>
      </c>
      <c r="P344" s="645"/>
      <c r="R344" s="638" t="s">
        <v>183</v>
      </c>
      <c r="S344" s="638"/>
    </row>
    <row r="345" spans="1:19" x14ac:dyDescent="0.2">
      <c r="A345" s="398" t="str">
        <v xml:space="preserve"> </v>
      </c>
      <c r="C345" s="638" t="s">
        <v>183</v>
      </c>
      <c r="D345" s="638"/>
      <c r="F345" s="638" t="s">
        <v>183</v>
      </c>
      <c r="G345" s="638"/>
      <c r="I345" s="638" t="s">
        <v>183</v>
      </c>
      <c r="J345" s="638"/>
      <c r="L345" s="638" t="s">
        <v>183</v>
      </c>
      <c r="M345" s="638"/>
      <c r="O345" s="644" t="str">
        <f>A263</f>
        <v>Cariacou</v>
      </c>
      <c r="P345" s="645"/>
      <c r="R345" s="638" t="s">
        <v>183</v>
      </c>
      <c r="S345" s="638"/>
    </row>
    <row r="346" spans="1:19" x14ac:dyDescent="0.2">
      <c r="A346" s="473" t="str">
        <v xml:space="preserve"> </v>
      </c>
      <c r="C346" s="638" t="s">
        <v>183</v>
      </c>
      <c r="D346" s="638"/>
      <c r="F346" s="638" t="s">
        <v>183</v>
      </c>
      <c r="G346" s="638"/>
      <c r="I346" s="638" t="s">
        <v>183</v>
      </c>
      <c r="J346" s="638"/>
      <c r="L346" s="638" t="s">
        <v>183</v>
      </c>
      <c r="M346" s="638"/>
      <c r="O346" s="652" t="str">
        <f>A258</f>
        <v>Wapiti</v>
      </c>
      <c r="P346" s="653"/>
      <c r="R346" s="638" t="s">
        <v>183</v>
      </c>
      <c r="S346" s="638"/>
    </row>
  </sheetData>
  <sheetProtection algorithmName="SHA-512" hashValue="TT52kldpbNfsZI03mY8g5TIIsjEeL9Q9TBJMBYh4cROlVUm3NqAv8usVb5XJtvE8tyHIClwYMgtE2emaKO5x7A==" saltValue="IfNq7E35bfDyzUo3UGtZTg==" spinCount="100000" sheet="1" objects="1" scenarios="1"/>
  <dataConsolidate/>
  <mergeCells count="186">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C345:D345"/>
    <mergeCell ref="C346:D346"/>
    <mergeCell ref="C335:D335"/>
    <mergeCell ref="C336:D336"/>
    <mergeCell ref="C337:D337"/>
    <mergeCell ref="C338:D338"/>
    <mergeCell ref="C339:D339"/>
    <mergeCell ref="C340:D340"/>
    <mergeCell ref="C334:D334"/>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70" activePane="bottomRight" state="frozen"/>
      <selection pane="topRight" activeCell="D1" sqref="D1"/>
      <selection pane="bottomLeft" activeCell="A8" sqref="A8"/>
      <selection pane="bottomRight" activeCell="J4" sqref="J4:J1004"/>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0</v>
      </c>
      <c r="D4" s="292" t="s">
        <v>14</v>
      </c>
      <c r="E4" s="293" t="s">
        <v>14</v>
      </c>
      <c r="F4" s="294" t="s">
        <v>14</v>
      </c>
      <c r="G4" s="292">
        <f>vit_xz*COS(Beta)</f>
        <v>0</v>
      </c>
      <c r="H4" s="293">
        <f>vit_xz*SIN(Beta)</f>
        <v>0</v>
      </c>
      <c r="I4" s="349">
        <f>V_ini</f>
        <v>0</v>
      </c>
      <c r="J4" s="350">
        <f>X_ini</f>
        <v>0</v>
      </c>
      <c r="K4" s="351">
        <f>Z_ini</f>
        <v>0</v>
      </c>
      <c r="L4" s="327">
        <f t="shared" ref="L4:L67" si="0">SQRT(pos_x^2+pos_z^2)</f>
        <v>0</v>
      </c>
      <c r="M4" s="292">
        <f>RADIANS(N4)</f>
        <v>1.3089969389957472</v>
      </c>
      <c r="N4" s="349">
        <f>Beta_rampe</f>
        <v>75</v>
      </c>
      <c r="P4" s="292" t="s">
        <v>14</v>
      </c>
      <c r="Q4" s="294" t="s">
        <v>14</v>
      </c>
      <c r="R4" s="292" t="s">
        <v>14</v>
      </c>
      <c r="S4" s="351">
        <f ca="1">m_tot</f>
        <v>23.672999999999998</v>
      </c>
      <c r="T4" s="327">
        <f t="shared" ref="T4:T67" ca="1" si="1">m*g</f>
        <v>232.23212999999998</v>
      </c>
      <c r="U4" s="328">
        <f t="shared" ref="U4:U67" ca="1" si="2">IF(pos_xz&lt;L_rampe,Poids*COS(Beta),0)</f>
        <v>60.106098128724454</v>
      </c>
      <c r="V4" s="329">
        <f t="shared" ref="V4:V67" si="3">Rho_moyen*(20000-Alt_rampe-pos_z)/(20000+Alt_rampe+pos_z)</f>
        <v>1.2250000000000001</v>
      </c>
      <c r="W4" s="327">
        <f t="shared" ref="W4:W67" si="4">1/2*Rho*Sref*Cx*vit_xz^2</f>
        <v>0</v>
      </c>
      <c r="Y4" s="295" t="s">
        <v>14</v>
      </c>
      <c r="Z4" s="296" t="s">
        <v>14</v>
      </c>
      <c r="AA4" s="297" t="s">
        <v>14</v>
      </c>
      <c r="AC4" s="320">
        <f>IF(ABS(t-ROUND(t,0))&lt;0.001,t,-1)</f>
        <v>0</v>
      </c>
      <c r="AD4" s="321">
        <f>IF(ABS(t-ROUND(t,0))&lt;0.001,pos_x,-1)</f>
        <v>0</v>
      </c>
      <c r="AE4" s="322">
        <f t="shared" ref="AE4:AE67" si="5">IF(t&lt;T_para, pos_z, NA())</f>
        <v>0</v>
      </c>
      <c r="AG4" s="292" t="s">
        <v>14</v>
      </c>
      <c r="AH4" s="294" t="s">
        <v>14</v>
      </c>
    </row>
    <row r="5" spans="1:248" x14ac:dyDescent="0.2">
      <c r="A5" s="347">
        <f t="shared" ref="A5:A68" ca="1" si="6">IF(B4+0.01&lt;=T_ini+ROUNDUP(Temps_fin_propu,0), 0.01, IF(K4&gt;0, 0.1, 0.0001))</f>
        <v>0.01</v>
      </c>
      <c r="B5" s="304">
        <f t="shared" ref="B5:B68" ca="1" si="7">B4+pas</f>
        <v>0.01</v>
      </c>
      <c r="D5" s="306">
        <f t="shared" ref="D5:D68" ca="1" si="8">IF(AND(L4&lt;L_rampe,Poussee&lt;Poids*SIN(M4)),0,(-W4+Poussee)/m*COS(M4)-U4/m*SIN(M4))</f>
        <v>0</v>
      </c>
      <c r="E5" s="307">
        <f t="shared" ref="E5:E68" ca="1" si="9">IF(AND(L4&lt;L_rampe,Poussee&lt;Poids*SIN(M4)),0,(-W4+Poussee)/m*SIN(M4)+U4/m*COS(M4)-Poids/m)</f>
        <v>0</v>
      </c>
      <c r="F5" s="304">
        <f t="shared" ref="F5:F68" ca="1" si="10">SQRT(acc_x^2+acc_z^2)</f>
        <v>0</v>
      </c>
      <c r="G5" s="306">
        <f t="shared" ref="G5:G68" ca="1" si="11">G4+acc_x*pas</f>
        <v>0</v>
      </c>
      <c r="H5" s="307">
        <f t="shared" ref="H5:H68" ca="1" si="12">H4+acc_z*pas</f>
        <v>0</v>
      </c>
      <c r="I5" s="304">
        <f t="shared" ref="I5:I68" ca="1" si="13">SQRT(vit_x^2+vit_z^2)</f>
        <v>0</v>
      </c>
      <c r="J5" s="306">
        <f t="shared" ref="J5:J68" ca="1" si="14">J4+0.5*(vit_x+G4)*pas*(K4&gt;=0)</f>
        <v>0</v>
      </c>
      <c r="K5" s="307">
        <f t="shared" ref="K5:K68" ca="1" si="15">K4+0.5*(vit_z+H4)*pas</f>
        <v>0</v>
      </c>
      <c r="L5" s="304">
        <f t="shared" ca="1" si="0"/>
        <v>0</v>
      </c>
      <c r="M5" s="306">
        <f t="shared" ref="M5:M68" ca="1" si="16">IF(AND(L4&gt;L_rampe,G5&gt;0),ATAN2(G5,H5),$M$4)</f>
        <v>1.3089969389957472</v>
      </c>
      <c r="N5" s="304">
        <f t="shared" ref="N5:N68" ca="1" si="17">DEGREES(Beta)</f>
        <v>75</v>
      </c>
      <c r="P5" s="310">
        <f t="shared" ref="P5:P68" ca="1" si="18">MATCH(t-pas/2-T_ini,CdP_t)</f>
        <v>1</v>
      </c>
      <c r="Q5" s="304">
        <f t="shared" ref="Q5:Q68" ca="1" si="19">(INDEX(CdP,2,i_P+1)-INDEX(CdP,2,i_P+0))/(INDEX(CdP,1,i_P+1)-INDEX(CdP,1,i_P+0))*(t-pas/2-T_ini-INDEX(CdP,1,i_P+0))+INDEX(CdP,2,i_P+0)</f>
        <v>172.8075</v>
      </c>
      <c r="R5" s="306">
        <f t="shared" ref="R5:R68" ca="1" si="20">Poussee/(g*ISP)</f>
        <v>0.103921961135192</v>
      </c>
      <c r="S5" s="307">
        <f t="shared" ref="S5:S68" ca="1" si="21">S4-Débit*pas</f>
        <v>23.671960780388645</v>
      </c>
      <c r="T5" s="304">
        <f t="shared" ca="1" si="1"/>
        <v>232.22193525561261</v>
      </c>
      <c r="U5" s="311">
        <f t="shared" ca="1" si="2"/>
        <v>60.103459534717054</v>
      </c>
      <c r="V5" s="306">
        <f t="shared" ca="1" si="3"/>
        <v>1.2250000000000001</v>
      </c>
      <c r="W5" s="304">
        <f t="shared" ca="1" si="4"/>
        <v>0</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0</v>
      </c>
      <c r="AG5" s="306">
        <f t="shared" ref="AG5:AG68" ca="1" si="27">IF(AND(L4&lt;L_rampe,Poussee&lt;Poids*SIN(M4)),0,(-W4+Poussee)/m-Poids*SIN(M4)/m)</f>
        <v>0</v>
      </c>
      <c r="AH5" s="304">
        <f t="shared" ref="AH5:AH68" ca="1" si="28">IF(AND(L4&lt;L_rampe,Poussee&lt;Poids*SIN(M4)), g*SIN(M4), (-W4+Poussee)/m)</f>
        <v>9.4757323558957598</v>
      </c>
    </row>
    <row r="6" spans="1:248" x14ac:dyDescent="0.2">
      <c r="A6" s="347">
        <f t="shared" ca="1" si="6"/>
        <v>0.01</v>
      </c>
      <c r="B6" s="304">
        <f t="shared" ca="1" si="7"/>
        <v>0.02</v>
      </c>
      <c r="D6" s="306">
        <f t="shared" ca="1" si="8"/>
        <v>3.2161323730451365</v>
      </c>
      <c r="E6" s="307">
        <f t="shared" ca="1" si="9"/>
        <v>12.004061592781648</v>
      </c>
      <c r="F6" s="304">
        <f t="shared" ca="1" si="10"/>
        <v>12.42742942704743</v>
      </c>
      <c r="G6" s="306">
        <f t="shared" ca="1" si="11"/>
        <v>3.2161323730451365E-2</v>
      </c>
      <c r="H6" s="307">
        <f t="shared" ca="1" si="12"/>
        <v>0.12004061592781648</v>
      </c>
      <c r="I6" s="304">
        <f t="shared" ca="1" si="13"/>
        <v>0.1242742942704743</v>
      </c>
      <c r="J6" s="306">
        <f t="shared" ca="1" si="14"/>
        <v>1.6080661865225683E-4</v>
      </c>
      <c r="K6" s="307">
        <f t="shared" ca="1" si="15"/>
        <v>6.0020307963908244E-4</v>
      </c>
      <c r="L6" s="304">
        <f t="shared" ca="1" si="0"/>
        <v>6.2137147135237153E-4</v>
      </c>
      <c r="M6" s="306">
        <f t="shared" ca="1" si="16"/>
        <v>1.3089969389957472</v>
      </c>
      <c r="N6" s="304">
        <f t="shared" ca="1" si="17"/>
        <v>75</v>
      </c>
      <c r="P6" s="310">
        <f t="shared" ca="1" si="18"/>
        <v>1</v>
      </c>
      <c r="Q6" s="304">
        <f t="shared" ca="1" si="19"/>
        <v>518.42250000000001</v>
      </c>
      <c r="R6" s="306">
        <f t="shared" ca="1" si="20"/>
        <v>0.31176588340557604</v>
      </c>
      <c r="S6" s="307">
        <f t="shared" ca="1" si="21"/>
        <v>23.668843121554588</v>
      </c>
      <c r="T6" s="304">
        <f t="shared" ca="1" si="1"/>
        <v>232.1913510224505</v>
      </c>
      <c r="U6" s="311">
        <f t="shared" ca="1" si="2"/>
        <v>60.095543752694844</v>
      </c>
      <c r="V6" s="306">
        <f t="shared" ca="1" si="3"/>
        <v>1.2249999264751252</v>
      </c>
      <c r="W6" s="304">
        <f t="shared" ca="1" si="4"/>
        <v>1.1028725609825616E-4</v>
      </c>
      <c r="Y6" s="314" t="str">
        <f t="shared" ca="1" si="22"/>
        <v/>
      </c>
      <c r="Z6" s="315" t="str">
        <f t="shared" ca="1" si="23"/>
        <v/>
      </c>
      <c r="AA6" s="316" t="str">
        <f t="shared" ca="1" si="24"/>
        <v/>
      </c>
      <c r="AC6" s="310" t="e">
        <f t="shared" ca="1" si="25"/>
        <v>#N/A</v>
      </c>
      <c r="AD6" s="323" t="e">
        <f t="shared" ca="1" si="26"/>
        <v>#N/A</v>
      </c>
      <c r="AE6" s="324">
        <f t="shared" ca="1" si="5"/>
        <v>6.0020307963908244E-4</v>
      </c>
      <c r="AG6" s="306">
        <f t="shared" ca="1" si="27"/>
        <v>12.427429422547329</v>
      </c>
      <c r="AH6" s="304">
        <f t="shared" ca="1" si="28"/>
        <v>21.903161778443089</v>
      </c>
    </row>
    <row r="7" spans="1:248" x14ac:dyDescent="0.2">
      <c r="A7" s="347">
        <f t="shared" ca="1" si="6"/>
        <v>0.01</v>
      </c>
      <c r="B7" s="304">
        <f t="shared" ca="1" si="7"/>
        <v>0.03</v>
      </c>
      <c r="D7" s="306">
        <f t="shared" ca="1" si="8"/>
        <v>6.9972939597304293</v>
      </c>
      <c r="E7" s="307">
        <f t="shared" ca="1" si="9"/>
        <v>26.116410667287603</v>
      </c>
      <c r="F7" s="304">
        <f t="shared" ca="1" si="10"/>
        <v>27.037548500211582</v>
      </c>
      <c r="G7" s="306">
        <f t="shared" ca="1" si="11"/>
        <v>0.10213426332775566</v>
      </c>
      <c r="H7" s="307">
        <f t="shared" ca="1" si="12"/>
        <v>0.38120472260069249</v>
      </c>
      <c r="I7" s="304">
        <f t="shared" ca="1" si="13"/>
        <v>0.39464977927090522</v>
      </c>
      <c r="J7" s="306">
        <f t="shared" ca="1" si="14"/>
        <v>8.3228455394329193E-4</v>
      </c>
      <c r="K7" s="307">
        <f t="shared" ca="1" si="15"/>
        <v>3.1064297722816271E-3</v>
      </c>
      <c r="L7" s="304">
        <f t="shared" ca="1" si="0"/>
        <v>3.2159918390521867E-3</v>
      </c>
      <c r="M7" s="306">
        <f t="shared" ca="1" si="16"/>
        <v>1.3089969389957472</v>
      </c>
      <c r="N7" s="304">
        <f t="shared" ca="1" si="17"/>
        <v>75</v>
      </c>
      <c r="P7" s="310">
        <f t="shared" ca="1" si="18"/>
        <v>1</v>
      </c>
      <c r="Q7" s="304">
        <f t="shared" ca="1" si="19"/>
        <v>864.03749999999991</v>
      </c>
      <c r="R7" s="306">
        <f t="shared" ca="1" si="20"/>
        <v>0.51960980567595993</v>
      </c>
      <c r="S7" s="307">
        <f t="shared" ca="1" si="21"/>
        <v>23.663647023497827</v>
      </c>
      <c r="T7" s="304">
        <f t="shared" ca="1" si="1"/>
        <v>232.14037730051371</v>
      </c>
      <c r="U7" s="311">
        <f t="shared" ca="1" si="2"/>
        <v>60.082350782657841</v>
      </c>
      <c r="V7" s="306">
        <f t="shared" ca="1" si="3"/>
        <v>1.224999619462412</v>
      </c>
      <c r="W7" s="304">
        <f t="shared" ca="1" si="4"/>
        <v>1.1122088342171829E-3</v>
      </c>
      <c r="Y7" s="314" t="str">
        <f t="shared" ca="1" si="22"/>
        <v/>
      </c>
      <c r="Z7" s="315" t="str">
        <f t="shared" ca="1" si="23"/>
        <v/>
      </c>
      <c r="AA7" s="316" t="str">
        <f t="shared" ca="1" si="24"/>
        <v/>
      </c>
      <c r="AC7" s="310" t="e">
        <f t="shared" ca="1" si="25"/>
        <v>#N/A</v>
      </c>
      <c r="AD7" s="323" t="e">
        <f t="shared" ca="1" si="26"/>
        <v>#N/A</v>
      </c>
      <c r="AE7" s="324">
        <f t="shared" ca="1" si="5"/>
        <v>3.1064297722816271E-3</v>
      </c>
      <c r="AG7" s="306">
        <f t="shared" ca="1" si="27"/>
        <v>27.037548494463483</v>
      </c>
      <c r="AH7" s="304">
        <f t="shared" ca="1" si="28"/>
        <v>36.513280850359244</v>
      </c>
    </row>
    <row r="8" spans="1:248" x14ac:dyDescent="0.2">
      <c r="A8" s="347">
        <f t="shared" ca="1" si="6"/>
        <v>0.01</v>
      </c>
      <c r="B8" s="304">
        <f t="shared" ca="1" si="7"/>
        <v>0.04</v>
      </c>
      <c r="D8" s="306">
        <f t="shared" ca="1" si="8"/>
        <v>10.781269314156415</v>
      </c>
      <c r="E8" s="307">
        <f t="shared" ca="1" si="9"/>
        <v>40.239261509588715</v>
      </c>
      <c r="F8" s="304">
        <f t="shared" ca="1" si="10"/>
        <v>41.658539759111079</v>
      </c>
      <c r="G8" s="306">
        <f t="shared" ca="1" si="11"/>
        <v>0.20994695646931982</v>
      </c>
      <c r="H8" s="307">
        <f t="shared" ca="1" si="12"/>
        <v>0.78359733769657969</v>
      </c>
      <c r="I8" s="304">
        <f t="shared" ca="1" si="13"/>
        <v>0.81123517686050695</v>
      </c>
      <c r="J8" s="306">
        <f t="shared" ca="1" si="14"/>
        <v>2.3926906529286693E-3</v>
      </c>
      <c r="K8" s="307">
        <f t="shared" ca="1" si="15"/>
        <v>8.9304400737679878E-3</v>
      </c>
      <c r="L8" s="304">
        <f t="shared" ca="1" si="0"/>
        <v>9.2454166196972113E-3</v>
      </c>
      <c r="M8" s="306">
        <f t="shared" ca="1" si="16"/>
        <v>1.3089969389957472</v>
      </c>
      <c r="N8" s="304">
        <f t="shared" ca="1" si="17"/>
        <v>75</v>
      </c>
      <c r="P8" s="310">
        <f t="shared" ca="1" si="18"/>
        <v>1</v>
      </c>
      <c r="Q8" s="304">
        <f t="shared" ca="1" si="19"/>
        <v>1209.6525000000001</v>
      </c>
      <c r="R8" s="306">
        <f t="shared" ca="1" si="20"/>
        <v>0.72745372794634411</v>
      </c>
      <c r="S8" s="307">
        <f t="shared" ca="1" si="21"/>
        <v>23.656372486218363</v>
      </c>
      <c r="T8" s="304">
        <f t="shared" ca="1" si="1"/>
        <v>232.06901408980215</v>
      </c>
      <c r="U8" s="311">
        <f t="shared" ca="1" si="2"/>
        <v>60.063880624606021</v>
      </c>
      <c r="V8" s="306">
        <f t="shared" ca="1" si="3"/>
        <v>1.2249989060215793</v>
      </c>
      <c r="W8" s="304">
        <f t="shared" ca="1" si="4"/>
        <v>4.6995460286485208E-3</v>
      </c>
      <c r="Y8" s="314" t="str">
        <f t="shared" ca="1" si="22"/>
        <v/>
      </c>
      <c r="Z8" s="315" t="str">
        <f t="shared" ca="1" si="23"/>
        <v/>
      </c>
      <c r="AA8" s="316" t="str">
        <f t="shared" ca="1" si="24"/>
        <v/>
      </c>
      <c r="AC8" s="310" t="e">
        <f t="shared" ca="1" si="25"/>
        <v>#N/A</v>
      </c>
      <c r="AD8" s="323" t="e">
        <f t="shared" ca="1" si="26"/>
        <v>#N/A</v>
      </c>
      <c r="AE8" s="324">
        <f t="shared" ca="1" si="5"/>
        <v>8.9304400737679878E-3</v>
      </c>
      <c r="AG8" s="306">
        <f t="shared" ca="1" si="27"/>
        <v>41.658539751794457</v>
      </c>
      <c r="AH8" s="304">
        <f t="shared" ca="1" si="28"/>
        <v>51.134272107690215</v>
      </c>
    </row>
    <row r="9" spans="1:248" x14ac:dyDescent="0.2">
      <c r="A9" s="347">
        <f t="shared" ca="1" si="6"/>
        <v>0.01</v>
      </c>
      <c r="B9" s="304">
        <f t="shared" ca="1" si="7"/>
        <v>0.05</v>
      </c>
      <c r="D9" s="306">
        <f t="shared" ca="1" si="8"/>
        <v>13.110471782156177</v>
      </c>
      <c r="E9" s="307">
        <f t="shared" ca="1" si="9"/>
        <v>48.932494415203159</v>
      </c>
      <c r="F9" s="304">
        <f t="shared" ca="1" si="10"/>
        <v>50.658399896212693</v>
      </c>
      <c r="G9" s="306">
        <f t="shared" ca="1" si="11"/>
        <v>0.34105167429088157</v>
      </c>
      <c r="H9" s="307">
        <f t="shared" ca="1" si="12"/>
        <v>1.2729222818486112</v>
      </c>
      <c r="I9" s="304">
        <f t="shared" ca="1" si="13"/>
        <v>1.3178191758216635</v>
      </c>
      <c r="J9" s="306">
        <f t="shared" ca="1" si="14"/>
        <v>5.1476838067296762E-3</v>
      </c>
      <c r="K9" s="307">
        <f t="shared" ca="1" si="15"/>
        <v>1.9213038171493942E-2</v>
      </c>
      <c r="L9" s="304">
        <f t="shared" ca="1" si="0"/>
        <v>1.9890688383093991E-2</v>
      </c>
      <c r="M9" s="306">
        <f t="shared" ca="1" si="16"/>
        <v>1.3089969389957472</v>
      </c>
      <c r="N9" s="304">
        <f t="shared" ca="1" si="17"/>
        <v>75</v>
      </c>
      <c r="P9" s="310">
        <f t="shared" ca="1" si="18"/>
        <v>2</v>
      </c>
      <c r="Q9" s="304">
        <f t="shared" ca="1" si="19"/>
        <v>1422.045875</v>
      </c>
      <c r="R9" s="306">
        <f t="shared" ca="1" si="20"/>
        <v>0.8551816104868718</v>
      </c>
      <c r="S9" s="307">
        <f t="shared" ca="1" si="21"/>
        <v>23.647820670113493</v>
      </c>
      <c r="T9" s="304">
        <f t="shared" ca="1" si="1"/>
        <v>231.98512077381338</v>
      </c>
      <c r="U9" s="311">
        <f t="shared" ca="1" si="2"/>
        <v>60.042167436671328</v>
      </c>
      <c r="V9" s="306">
        <f t="shared" ca="1" si="3"/>
        <v>1.2249976464050849</v>
      </c>
      <c r="W9" s="304">
        <f t="shared" ca="1" si="4"/>
        <v>1.240148116063826E-2</v>
      </c>
      <c r="Y9" s="314" t="str">
        <f t="shared" ca="1" si="22"/>
        <v/>
      </c>
      <c r="Z9" s="315" t="str">
        <f t="shared" ca="1" si="23"/>
        <v/>
      </c>
      <c r="AA9" s="316" t="str">
        <f t="shared" ca="1" si="24"/>
        <v/>
      </c>
      <c r="AC9" s="310" t="e">
        <f t="shared" ca="1" si="25"/>
        <v>#N/A</v>
      </c>
      <c r="AD9" s="323" t="e">
        <f t="shared" ca="1" si="26"/>
        <v>#N/A</v>
      </c>
      <c r="AE9" s="324">
        <f t="shared" ca="1" si="5"/>
        <v>1.9213038171493942E-2</v>
      </c>
      <c r="AG9" s="306">
        <f t="shared" ca="1" si="27"/>
        <v>50.658399887891534</v>
      </c>
      <c r="AH9" s="304">
        <f t="shared" ca="1" si="28"/>
        <v>60.134132243787292</v>
      </c>
    </row>
    <row r="10" spans="1:248" x14ac:dyDescent="0.2">
      <c r="A10" s="347">
        <f t="shared" ca="1" si="6"/>
        <v>0.01</v>
      </c>
      <c r="B10" s="304">
        <f t="shared" ca="1" si="7"/>
        <v>6.0000000000000005E-2</v>
      </c>
      <c r="D10" s="306">
        <f t="shared" ca="1" si="8"/>
        <v>13.983126209448168</v>
      </c>
      <c r="E10" s="307">
        <f t="shared" ca="1" si="9"/>
        <v>52.189484017336113</v>
      </c>
      <c r="F10" s="304">
        <f t="shared" ca="1" si="10"/>
        <v>54.030269854824319</v>
      </c>
      <c r="G10" s="306">
        <f t="shared" ca="1" si="11"/>
        <v>0.48088293638536328</v>
      </c>
      <c r="H10" s="307">
        <f t="shared" ca="1" si="12"/>
        <v>1.7948171220219724</v>
      </c>
      <c r="I10" s="304">
        <f t="shared" ca="1" si="13"/>
        <v>1.8581218743693442</v>
      </c>
      <c r="J10" s="306">
        <f t="shared" ca="1" si="14"/>
        <v>9.2573568601109005E-3</v>
      </c>
      <c r="K10" s="307">
        <f t="shared" ca="1" si="15"/>
        <v>3.4551735190846859E-2</v>
      </c>
      <c r="L10" s="304">
        <f t="shared" ca="1" si="0"/>
        <v>3.5770393634035502E-2</v>
      </c>
      <c r="M10" s="306">
        <f t="shared" ca="1" si="16"/>
        <v>1.3089969389957472</v>
      </c>
      <c r="N10" s="304">
        <f t="shared" ca="1" si="17"/>
        <v>75</v>
      </c>
      <c r="P10" s="310">
        <f t="shared" ca="1" si="18"/>
        <v>2</v>
      </c>
      <c r="Q10" s="304">
        <f t="shared" ca="1" si="19"/>
        <v>1501.217625</v>
      </c>
      <c r="R10" s="306">
        <f t="shared" ca="1" si="20"/>
        <v>0.90279345329754346</v>
      </c>
      <c r="S10" s="307">
        <f t="shared" ca="1" si="21"/>
        <v>23.638792735580516</v>
      </c>
      <c r="T10" s="304">
        <f t="shared" ca="1" si="1"/>
        <v>231.89655673604489</v>
      </c>
      <c r="U10" s="311">
        <f t="shared" ca="1" si="2"/>
        <v>60.019245376985658</v>
      </c>
      <c r="V10" s="306">
        <f t="shared" ca="1" si="3"/>
        <v>1.2249957674197511</v>
      </c>
      <c r="W10" s="304">
        <f t="shared" ca="1" si="4"/>
        <v>2.4655262923803527E-2</v>
      </c>
      <c r="Y10" s="314" t="str">
        <f t="shared" ca="1" si="22"/>
        <v/>
      </c>
      <c r="Z10" s="315" t="str">
        <f t="shared" ca="1" si="23"/>
        <v/>
      </c>
      <c r="AA10" s="316" t="str">
        <f t="shared" ca="1" si="24"/>
        <v/>
      </c>
      <c r="AC10" s="310" t="e">
        <f t="shared" ca="1" si="25"/>
        <v>#N/A</v>
      </c>
      <c r="AD10" s="323" t="e">
        <f t="shared" ca="1" si="26"/>
        <v>#N/A</v>
      </c>
      <c r="AE10" s="324">
        <f t="shared" ca="1" si="5"/>
        <v>3.4551735190846859E-2</v>
      </c>
      <c r="AG10" s="306">
        <f t="shared" ca="1" si="27"/>
        <v>54.03026984612292</v>
      </c>
      <c r="AH10" s="304">
        <f t="shared" ca="1" si="28"/>
        <v>63.506002202018678</v>
      </c>
    </row>
    <row r="11" spans="1:248" x14ac:dyDescent="0.2">
      <c r="A11" s="347">
        <f t="shared" ca="1" si="6"/>
        <v>0.01</v>
      </c>
      <c r="B11" s="304">
        <f t="shared" ca="1" si="7"/>
        <v>7.0000000000000007E-2</v>
      </c>
      <c r="D11" s="306">
        <f t="shared" ca="1" si="8"/>
        <v>14.856746354378002</v>
      </c>
      <c r="E11" s="307">
        <f t="shared" ca="1" si="9"/>
        <v>55.450077958276822</v>
      </c>
      <c r="F11" s="304">
        <f t="shared" ca="1" si="10"/>
        <v>57.405871283495912</v>
      </c>
      <c r="G11" s="306">
        <f t="shared" ca="1" si="11"/>
        <v>0.62945039992914331</v>
      </c>
      <c r="H11" s="307">
        <f t="shared" ca="1" si="12"/>
        <v>2.3493179016047407</v>
      </c>
      <c r="I11" s="304">
        <f t="shared" ca="1" si="13"/>
        <v>2.4321805872038906</v>
      </c>
      <c r="J11" s="306">
        <f t="shared" ca="1" si="14"/>
        <v>1.4809023541683435E-2</v>
      </c>
      <c r="K11" s="307">
        <f t="shared" ca="1" si="15"/>
        <v>5.5272410308980426E-2</v>
      </c>
      <c r="L11" s="304">
        <f t="shared" ca="1" si="0"/>
        <v>5.7221905941889244E-2</v>
      </c>
      <c r="M11" s="306">
        <f t="shared" ca="1" si="16"/>
        <v>1.3089969389957472</v>
      </c>
      <c r="N11" s="304">
        <f t="shared" ca="1" si="17"/>
        <v>75</v>
      </c>
      <c r="P11" s="310">
        <f t="shared" ca="1" si="18"/>
        <v>2</v>
      </c>
      <c r="Q11" s="304">
        <f t="shared" ca="1" si="19"/>
        <v>1580.389375</v>
      </c>
      <c r="R11" s="306">
        <f t="shared" ca="1" si="20"/>
        <v>0.95040529610821511</v>
      </c>
      <c r="S11" s="307">
        <f t="shared" ca="1" si="21"/>
        <v>23.629288682619435</v>
      </c>
      <c r="T11" s="304">
        <f t="shared" ca="1" si="1"/>
        <v>231.80332197649668</v>
      </c>
      <c r="U11" s="311">
        <f t="shared" ca="1" si="2"/>
        <v>59.995114445549028</v>
      </c>
      <c r="V11" s="306">
        <f t="shared" ca="1" si="3"/>
        <v>1.2249932291484495</v>
      </c>
      <c r="W11" s="304">
        <f t="shared" ca="1" si="4"/>
        <v>4.2242730436468243E-2</v>
      </c>
      <c r="Y11" s="314" t="str">
        <f t="shared" ca="1" si="22"/>
        <v/>
      </c>
      <c r="Z11" s="315" t="str">
        <f t="shared" ca="1" si="23"/>
        <v/>
      </c>
      <c r="AA11" s="316" t="str">
        <f t="shared" ca="1" si="24"/>
        <v/>
      </c>
      <c r="AC11" s="310" t="e">
        <f t="shared" ca="1" si="25"/>
        <v>#N/A</v>
      </c>
      <c r="AD11" s="323" t="e">
        <f t="shared" ca="1" si="26"/>
        <v>#N/A</v>
      </c>
      <c r="AE11" s="324">
        <f t="shared" ca="1" si="5"/>
        <v>5.5272410308980426E-2</v>
      </c>
      <c r="AG11" s="306">
        <f t="shared" ca="1" si="27"/>
        <v>57.405871274412263</v>
      </c>
      <c r="AH11" s="304">
        <f t="shared" ca="1" si="28"/>
        <v>66.881603630308021</v>
      </c>
    </row>
    <row r="12" spans="1:248" x14ac:dyDescent="0.2">
      <c r="A12" s="347">
        <f t="shared" ca="1" si="6"/>
        <v>0.01</v>
      </c>
      <c r="B12" s="304">
        <f t="shared" ca="1" si="7"/>
        <v>0.08</v>
      </c>
      <c r="D12" s="306">
        <f t="shared" ca="1" si="8"/>
        <v>15.731377646717283</v>
      </c>
      <c r="E12" s="307">
        <f t="shared" ca="1" si="9"/>
        <v>58.714445796565371</v>
      </c>
      <c r="F12" s="304">
        <f t="shared" ca="1" si="10"/>
        <v>60.785379721290298</v>
      </c>
      <c r="G12" s="306">
        <f t="shared" ca="1" si="11"/>
        <v>0.78676417639631613</v>
      </c>
      <c r="H12" s="307">
        <f t="shared" ca="1" si="12"/>
        <v>2.9364623595703945</v>
      </c>
      <c r="I12" s="304">
        <f t="shared" ca="1" si="13"/>
        <v>3.0400343844164497</v>
      </c>
      <c r="J12" s="306">
        <f t="shared" ca="1" si="14"/>
        <v>2.1890096423310731E-2</v>
      </c>
      <c r="K12" s="307">
        <f t="shared" ca="1" si="15"/>
        <v>8.1701311614856109E-2</v>
      </c>
      <c r="L12" s="304">
        <f t="shared" ca="1" si="0"/>
        <v>8.4582980799979279E-2</v>
      </c>
      <c r="M12" s="306">
        <f t="shared" ca="1" si="16"/>
        <v>1.3089969389957472</v>
      </c>
      <c r="N12" s="304">
        <f t="shared" ca="1" si="17"/>
        <v>75</v>
      </c>
      <c r="P12" s="310">
        <f t="shared" ca="1" si="18"/>
        <v>2</v>
      </c>
      <c r="Q12" s="304">
        <f t="shared" ca="1" si="19"/>
        <v>1659.5611249999999</v>
      </c>
      <c r="R12" s="306">
        <f t="shared" ca="1" si="20"/>
        <v>0.99801713891888666</v>
      </c>
      <c r="S12" s="307">
        <f t="shared" ca="1" si="21"/>
        <v>23.619308511230248</v>
      </c>
      <c r="T12" s="304">
        <f t="shared" ca="1" si="1"/>
        <v>231.70541649516875</v>
      </c>
      <c r="U12" s="311">
        <f t="shared" ca="1" si="2"/>
        <v>59.969774642361436</v>
      </c>
      <c r="V12" s="306">
        <f t="shared" ca="1" si="3"/>
        <v>1.2249899916302123</v>
      </c>
      <c r="W12" s="304">
        <f t="shared" ca="1" si="4"/>
        <v>6.599578362793207E-2</v>
      </c>
      <c r="Y12" s="314" t="str">
        <f t="shared" ca="1" si="22"/>
        <v/>
      </c>
      <c r="Z12" s="315" t="str">
        <f t="shared" ca="1" si="23"/>
        <v/>
      </c>
      <c r="AA12" s="316" t="str">
        <f t="shared" ca="1" si="24"/>
        <v/>
      </c>
      <c r="AC12" s="310" t="e">
        <f t="shared" ca="1" si="25"/>
        <v>#N/A</v>
      </c>
      <c r="AD12" s="323" t="e">
        <f t="shared" ca="1" si="26"/>
        <v>#N/A</v>
      </c>
      <c r="AE12" s="324">
        <f t="shared" ca="1" si="5"/>
        <v>8.1701311614856109E-2</v>
      </c>
      <c r="AG12" s="306">
        <f t="shared" ca="1" si="27"/>
        <v>60.785379711822642</v>
      </c>
      <c r="AH12" s="304">
        <f t="shared" ca="1" si="28"/>
        <v>70.2611120677184</v>
      </c>
    </row>
    <row r="13" spans="1:248" x14ac:dyDescent="0.2">
      <c r="A13" s="347">
        <f t="shared" ca="1" si="6"/>
        <v>0.01</v>
      </c>
      <c r="B13" s="304">
        <f t="shared" ca="1" si="7"/>
        <v>0.09</v>
      </c>
      <c r="D13" s="306">
        <f t="shared" ca="1" si="8"/>
        <v>16.21018881074864</v>
      </c>
      <c r="E13" s="307">
        <f t="shared" ca="1" si="9"/>
        <v>60.501502593042588</v>
      </c>
      <c r="F13" s="304">
        <f t="shared" ca="1" si="10"/>
        <v>62.635469482522915</v>
      </c>
      <c r="G13" s="306">
        <f t="shared" ca="1" si="11"/>
        <v>0.94886606450380251</v>
      </c>
      <c r="H13" s="307">
        <f t="shared" ca="1" si="12"/>
        <v>3.5414773855008201</v>
      </c>
      <c r="I13" s="304">
        <f t="shared" ca="1" si="13"/>
        <v>3.6663890792414078</v>
      </c>
      <c r="J13" s="306">
        <f t="shared" ca="1" si="14"/>
        <v>3.0568247627811324E-2</v>
      </c>
      <c r="K13" s="307">
        <f t="shared" ca="1" si="15"/>
        <v>0.11409101034021218</v>
      </c>
      <c r="L13" s="304">
        <f t="shared" ca="1" si="0"/>
        <v>0.1181150981182575</v>
      </c>
      <c r="M13" s="306">
        <f t="shared" ca="1" si="16"/>
        <v>1.3089969389957472</v>
      </c>
      <c r="N13" s="304">
        <f t="shared" ca="1" si="17"/>
        <v>75</v>
      </c>
      <c r="P13" s="310">
        <f t="shared" ca="1" si="18"/>
        <v>3</v>
      </c>
      <c r="Q13" s="304">
        <f t="shared" ca="1" si="19"/>
        <v>1702.5443966942148</v>
      </c>
      <c r="R13" s="306">
        <f t="shared" ca="1" si="20"/>
        <v>1.0238661668283791</v>
      </c>
      <c r="S13" s="307">
        <f t="shared" ca="1" si="21"/>
        <v>23.609069849561966</v>
      </c>
      <c r="T13" s="304">
        <f t="shared" ca="1" si="1"/>
        <v>231.60497522420289</v>
      </c>
      <c r="U13" s="311">
        <f t="shared" ca="1" si="2"/>
        <v>59.943778528521165</v>
      </c>
      <c r="V13" s="306">
        <f t="shared" ca="1" si="3"/>
        <v>1.2249860239309609</v>
      </c>
      <c r="W13" s="304">
        <f t="shared" ca="1" si="4"/>
        <v>9.5991967468275569E-2</v>
      </c>
      <c r="Y13" s="314" t="str">
        <f t="shared" ca="1" si="22"/>
        <v/>
      </c>
      <c r="Z13" s="315" t="str">
        <f t="shared" ca="1" si="23"/>
        <v/>
      </c>
      <c r="AA13" s="316" t="str">
        <f t="shared" ca="1" si="24"/>
        <v/>
      </c>
      <c r="AC13" s="310" t="e">
        <f t="shared" ca="1" si="25"/>
        <v>#N/A</v>
      </c>
      <c r="AD13" s="323" t="e">
        <f t="shared" ca="1" si="26"/>
        <v>#N/A</v>
      </c>
      <c r="AE13" s="324">
        <f t="shared" ca="1" si="5"/>
        <v>0.11409101034021218</v>
      </c>
      <c r="AG13" s="306">
        <f t="shared" ca="1" si="27"/>
        <v>62.635469472844406</v>
      </c>
      <c r="AH13" s="304">
        <f t="shared" ca="1" si="28"/>
        <v>72.111201828740164</v>
      </c>
    </row>
    <row r="14" spans="1:248" x14ac:dyDescent="0.2">
      <c r="A14" s="347">
        <f t="shared" ca="1" si="6"/>
        <v>0.01</v>
      </c>
      <c r="B14" s="304">
        <f t="shared" ca="1" si="7"/>
        <v>9.9999999999999992E-2</v>
      </c>
      <c r="D14" s="306">
        <f t="shared" ca="1" si="8"/>
        <v>16.292506661171707</v>
      </c>
      <c r="E14" s="307">
        <f t="shared" ca="1" si="9"/>
        <v>60.808735832724764</v>
      </c>
      <c r="F14" s="304">
        <f t="shared" ca="1" si="10"/>
        <v>62.95353943090435</v>
      </c>
      <c r="G14" s="306">
        <f t="shared" ca="1" si="11"/>
        <v>1.1117911311155195</v>
      </c>
      <c r="H14" s="307">
        <f t="shared" ca="1" si="12"/>
        <v>4.1495647438280674</v>
      </c>
      <c r="I14" s="304">
        <f t="shared" ca="1" si="13"/>
        <v>4.2959244735502535</v>
      </c>
      <c r="J14" s="306">
        <f t="shared" ca="1" si="14"/>
        <v>4.0871533605907936E-2</v>
      </c>
      <c r="K14" s="307">
        <f t="shared" ca="1" si="15"/>
        <v>0.15254622098685661</v>
      </c>
      <c r="L14" s="304">
        <f t="shared" ca="1" si="0"/>
        <v>0.15792666588220544</v>
      </c>
      <c r="M14" s="306">
        <f t="shared" ca="1" si="16"/>
        <v>1.3089969389957472</v>
      </c>
      <c r="N14" s="304">
        <f t="shared" ca="1" si="17"/>
        <v>75</v>
      </c>
      <c r="P14" s="310">
        <f t="shared" ca="1" si="18"/>
        <v>3</v>
      </c>
      <c r="Q14" s="304">
        <f t="shared" ca="1" si="19"/>
        <v>1709.3391900826446</v>
      </c>
      <c r="R14" s="306">
        <f t="shared" ca="1" si="20"/>
        <v>1.0279523798366921</v>
      </c>
      <c r="S14" s="307">
        <f t="shared" ca="1" si="21"/>
        <v>23.598790325763598</v>
      </c>
      <c r="T14" s="304">
        <f t="shared" ca="1" si="1"/>
        <v>231.50413309574091</v>
      </c>
      <c r="U14" s="311">
        <f t="shared" ca="1" si="2"/>
        <v>59.91767866512653</v>
      </c>
      <c r="V14" s="306">
        <f t="shared" ca="1" si="3"/>
        <v>1.224981313230459</v>
      </c>
      <c r="W14" s="304">
        <f t="shared" ca="1" si="4"/>
        <v>0.13178603650083529</v>
      </c>
      <c r="Y14" s="314" t="str">
        <f t="shared" ca="1" si="22"/>
        <v/>
      </c>
      <c r="Z14" s="315" t="str">
        <f t="shared" ca="1" si="23"/>
        <v/>
      </c>
      <c r="AA14" s="316" t="str">
        <f t="shared" ca="1" si="24"/>
        <v/>
      </c>
      <c r="AC14" s="310" t="e">
        <f t="shared" ca="1" si="25"/>
        <v>#N/A</v>
      </c>
      <c r="AD14" s="323" t="e">
        <f t="shared" ca="1" si="26"/>
        <v>#N/A</v>
      </c>
      <c r="AE14" s="324">
        <f t="shared" ca="1" si="5"/>
        <v>0.15254622098685661</v>
      </c>
      <c r="AG14" s="306">
        <f t="shared" ca="1" si="27"/>
        <v>62.953539421189262</v>
      </c>
      <c r="AH14" s="304">
        <f t="shared" ca="1" si="28"/>
        <v>72.42927177708502</v>
      </c>
    </row>
    <row r="15" spans="1:248" x14ac:dyDescent="0.2">
      <c r="A15" s="347">
        <f t="shared" ca="1" si="6"/>
        <v>0.01</v>
      </c>
      <c r="B15" s="304">
        <f t="shared" ca="1" si="7"/>
        <v>0.10999999999999999</v>
      </c>
      <c r="D15" s="306">
        <f t="shared" ca="1" si="8"/>
        <v>16.374865255995815</v>
      </c>
      <c r="E15" s="307">
        <f t="shared" ca="1" si="9"/>
        <v>61.116121156436776</v>
      </c>
      <c r="F15" s="304">
        <f t="shared" ca="1" si="10"/>
        <v>63.271766826605038</v>
      </c>
      <c r="G15" s="306">
        <f t="shared" ca="1" si="11"/>
        <v>1.2755397836754776</v>
      </c>
      <c r="H15" s="307">
        <f t="shared" ca="1" si="12"/>
        <v>4.7607259553924353</v>
      </c>
      <c r="I15" s="304">
        <f t="shared" ca="1" si="13"/>
        <v>4.9286421418161517</v>
      </c>
      <c r="J15" s="306">
        <f t="shared" ca="1" si="14"/>
        <v>5.2808188179862922E-2</v>
      </c>
      <c r="K15" s="307">
        <f t="shared" ca="1" si="15"/>
        <v>0.19709767448295912</v>
      </c>
      <c r="L15" s="304">
        <f t="shared" ca="1" si="0"/>
        <v>0.20404949895902788</v>
      </c>
      <c r="M15" s="306">
        <f t="shared" ca="1" si="16"/>
        <v>1.3089969389957472</v>
      </c>
      <c r="N15" s="304">
        <f t="shared" ca="1" si="17"/>
        <v>75</v>
      </c>
      <c r="P15" s="310">
        <f t="shared" ca="1" si="18"/>
        <v>3</v>
      </c>
      <c r="Q15" s="304">
        <f t="shared" ca="1" si="19"/>
        <v>1716.1339834710743</v>
      </c>
      <c r="R15" s="306">
        <f t="shared" ca="1" si="20"/>
        <v>1.0320385928450051</v>
      </c>
      <c r="S15" s="307">
        <f t="shared" ca="1" si="21"/>
        <v>23.58846993983515</v>
      </c>
      <c r="T15" s="304">
        <f t="shared" ca="1" si="1"/>
        <v>231.40289010978285</v>
      </c>
      <c r="U15" s="311">
        <f t="shared" ca="1" si="2"/>
        <v>59.891475052177533</v>
      </c>
      <c r="V15" s="306">
        <f t="shared" ca="1" si="3"/>
        <v>1.2249758557728148</v>
      </c>
      <c r="W15" s="304">
        <f t="shared" ca="1" si="4"/>
        <v>0.17346376128164467</v>
      </c>
      <c r="Y15" s="314" t="str">
        <f t="shared" ca="1" si="22"/>
        <v/>
      </c>
      <c r="Z15" s="315" t="str">
        <f t="shared" ca="1" si="23"/>
        <v/>
      </c>
      <c r="AA15" s="316" t="str">
        <f t="shared" ca="1" si="24"/>
        <v/>
      </c>
      <c r="AC15" s="310" t="e">
        <f t="shared" ca="1" si="25"/>
        <v>#N/A</v>
      </c>
      <c r="AD15" s="323" t="e">
        <f t="shared" ca="1" si="26"/>
        <v>#N/A</v>
      </c>
      <c r="AE15" s="324">
        <f t="shared" ca="1" si="5"/>
        <v>0.19709767448295912</v>
      </c>
      <c r="AG15" s="306">
        <f t="shared" ca="1" si="27"/>
        <v>63.271766816853287</v>
      </c>
      <c r="AH15" s="304">
        <f t="shared" ca="1" si="28"/>
        <v>72.747499172749045</v>
      </c>
    </row>
    <row r="16" spans="1:248" x14ac:dyDescent="0.2">
      <c r="A16" s="347">
        <f t="shared" ca="1" si="6"/>
        <v>0.01</v>
      </c>
      <c r="B16" s="304">
        <f t="shared" ca="1" si="7"/>
        <v>0.11999999999999998</v>
      </c>
      <c r="D16" s="306">
        <f t="shared" ca="1" si="8"/>
        <v>16.457264135408145</v>
      </c>
      <c r="E16" s="307">
        <f t="shared" ca="1" si="9"/>
        <v>61.423656848263278</v>
      </c>
      <c r="F16" s="304">
        <f t="shared" ca="1" si="10"/>
        <v>63.590149893169709</v>
      </c>
      <c r="G16" s="306">
        <f t="shared" ca="1" si="11"/>
        <v>1.4401124250295592</v>
      </c>
      <c r="H16" s="307">
        <f t="shared" ca="1" si="12"/>
        <v>5.3749625238750678</v>
      </c>
      <c r="I16" s="304">
        <f t="shared" ca="1" si="13"/>
        <v>5.5645436407477256</v>
      </c>
      <c r="J16" s="306">
        <f t="shared" ca="1" si="14"/>
        <v>6.63864492233881E-2</v>
      </c>
      <c r="K16" s="307">
        <f t="shared" ca="1" si="15"/>
        <v>0.24777611687929663</v>
      </c>
      <c r="L16" s="304">
        <f t="shared" ca="1" si="0"/>
        <v>0.25651542787183845</v>
      </c>
      <c r="M16" s="306">
        <f t="shared" ca="1" si="16"/>
        <v>1.3089969389957472</v>
      </c>
      <c r="N16" s="304">
        <f t="shared" ca="1" si="17"/>
        <v>75</v>
      </c>
      <c r="P16" s="310">
        <f t="shared" ca="1" si="18"/>
        <v>3</v>
      </c>
      <c r="Q16" s="304">
        <f t="shared" ca="1" si="19"/>
        <v>1722.9287768595041</v>
      </c>
      <c r="R16" s="306">
        <f t="shared" ca="1" si="20"/>
        <v>1.0361248058533181</v>
      </c>
      <c r="S16" s="307">
        <f t="shared" ca="1" si="21"/>
        <v>23.578108691776617</v>
      </c>
      <c r="T16" s="304">
        <f t="shared" ca="1" si="1"/>
        <v>231.30124626632863</v>
      </c>
      <c r="U16" s="311">
        <f t="shared" ca="1" si="2"/>
        <v>59.865167689674166</v>
      </c>
      <c r="V16" s="306">
        <f t="shared" ca="1" si="3"/>
        <v>1.22496964780171</v>
      </c>
      <c r="W16" s="304">
        <f t="shared" ca="1" si="4"/>
        <v>0.22111137818685256</v>
      </c>
      <c r="Y16" s="314" t="str">
        <f t="shared" ca="1" si="22"/>
        <v/>
      </c>
      <c r="Z16" s="315" t="str">
        <f t="shared" ca="1" si="23"/>
        <v/>
      </c>
      <c r="AA16" s="316" t="str">
        <f t="shared" ca="1" si="24"/>
        <v/>
      </c>
      <c r="AC16" s="310" t="e">
        <f t="shared" ca="1" si="25"/>
        <v>#N/A</v>
      </c>
      <c r="AD16" s="323" t="e">
        <f t="shared" ca="1" si="26"/>
        <v>#N/A</v>
      </c>
      <c r="AE16" s="324">
        <f t="shared" ca="1" si="5"/>
        <v>0.24777611687929663</v>
      </c>
      <c r="AG16" s="306">
        <f t="shared" ca="1" si="27"/>
        <v>63.590149883381187</v>
      </c>
      <c r="AH16" s="304">
        <f t="shared" ca="1" si="28"/>
        <v>73.065882239276945</v>
      </c>
    </row>
    <row r="17" spans="1:34" x14ac:dyDescent="0.2">
      <c r="A17" s="347">
        <f t="shared" ca="1" si="6"/>
        <v>0.01</v>
      </c>
      <c r="B17" s="304">
        <f t="shared" ca="1" si="7"/>
        <v>0.12999999999999998</v>
      </c>
      <c r="D17" s="306">
        <f t="shared" ca="1" si="8"/>
        <v>16.539702834092324</v>
      </c>
      <c r="E17" s="307">
        <f t="shared" ca="1" si="9"/>
        <v>61.731341171749747</v>
      </c>
      <c r="F17" s="304">
        <f t="shared" ca="1" si="10"/>
        <v>63.908686832879354</v>
      </c>
      <c r="G17" s="306">
        <f t="shared" ca="1" si="11"/>
        <v>1.6055094533704823</v>
      </c>
      <c r="H17" s="307">
        <f t="shared" ca="1" si="12"/>
        <v>5.9922759355925654</v>
      </c>
      <c r="I17" s="304">
        <f t="shared" ca="1" si="13"/>
        <v>6.2036305090764179</v>
      </c>
      <c r="J17" s="306">
        <f t="shared" ca="1" si="14"/>
        <v>8.16145586153883E-2</v>
      </c>
      <c r="K17" s="307">
        <f t="shared" ca="1" si="15"/>
        <v>0.30461230917663479</v>
      </c>
      <c r="L17" s="304">
        <f t="shared" ca="1" si="0"/>
        <v>0.31535629862095094</v>
      </c>
      <c r="M17" s="306">
        <f t="shared" ca="1" si="16"/>
        <v>1.3089969389957472</v>
      </c>
      <c r="N17" s="304">
        <f t="shared" ca="1" si="17"/>
        <v>75</v>
      </c>
      <c r="P17" s="310">
        <f t="shared" ca="1" si="18"/>
        <v>3</v>
      </c>
      <c r="Q17" s="304">
        <f t="shared" ca="1" si="19"/>
        <v>1729.7235702479338</v>
      </c>
      <c r="R17" s="306">
        <f t="shared" ca="1" si="20"/>
        <v>1.0402110188616311</v>
      </c>
      <c r="S17" s="307">
        <f t="shared" ca="1" si="21"/>
        <v>23.567706581588002</v>
      </c>
      <c r="T17" s="304">
        <f t="shared" ca="1" si="1"/>
        <v>231.1992015653783</v>
      </c>
      <c r="U17" s="311">
        <f t="shared" ca="1" si="2"/>
        <v>59.838756577616429</v>
      </c>
      <c r="V17" s="306">
        <f t="shared" ca="1" si="3"/>
        <v>1.2249626855604479</v>
      </c>
      <c r="W17" s="304">
        <f t="shared" ca="1" si="4"/>
        <v>0.27481558857822141</v>
      </c>
      <c r="Y17" s="314" t="str">
        <f t="shared" ca="1" si="22"/>
        <v/>
      </c>
      <c r="Z17" s="315" t="str">
        <f t="shared" ca="1" si="23"/>
        <v/>
      </c>
      <c r="AA17" s="316" t="str">
        <f t="shared" ca="1" si="24"/>
        <v/>
      </c>
      <c r="AC17" s="310" t="e">
        <f t="shared" ca="1" si="25"/>
        <v>#N/A</v>
      </c>
      <c r="AD17" s="323" t="e">
        <f t="shared" ca="1" si="26"/>
        <v>#N/A</v>
      </c>
      <c r="AE17" s="324">
        <f t="shared" ca="1" si="5"/>
        <v>0.30461230917663479</v>
      </c>
      <c r="AG17" s="306">
        <f t="shared" ca="1" si="27"/>
        <v>63.908686823053998</v>
      </c>
      <c r="AH17" s="304">
        <f t="shared" ca="1" si="28"/>
        <v>73.384419178949756</v>
      </c>
    </row>
    <row r="18" spans="1:34" x14ac:dyDescent="0.2">
      <c r="A18" s="347">
        <f t="shared" ca="1" si="6"/>
        <v>0.01</v>
      </c>
      <c r="B18" s="304">
        <f t="shared" ca="1" si="7"/>
        <v>0.13999999999999999</v>
      </c>
      <c r="D18" s="306">
        <f t="shared" ca="1" si="8"/>
        <v>16.622180881217457</v>
      </c>
      <c r="E18" s="307">
        <f t="shared" ca="1" si="9"/>
        <v>62.03917236986176</v>
      </c>
      <c r="F18" s="304">
        <f t="shared" ca="1" si="10"/>
        <v>64.22737582670905</v>
      </c>
      <c r="G18" s="306">
        <f t="shared" ca="1" si="11"/>
        <v>1.7717312621826569</v>
      </c>
      <c r="H18" s="307">
        <f t="shared" ca="1" si="12"/>
        <v>6.6126676592911835</v>
      </c>
      <c r="I18" s="304">
        <f t="shared" ca="1" si="13"/>
        <v>6.8459042673434229</v>
      </c>
      <c r="J18" s="306">
        <f t="shared" ca="1" si="14"/>
        <v>9.8500762193153998E-2</v>
      </c>
      <c r="K18" s="307">
        <f t="shared" ca="1" si="15"/>
        <v>0.36763702715105351</v>
      </c>
      <c r="L18" s="304">
        <f t="shared" ca="1" si="0"/>
        <v>0.38060397250304251</v>
      </c>
      <c r="M18" s="306">
        <f t="shared" ca="1" si="16"/>
        <v>1.3089969389957472</v>
      </c>
      <c r="N18" s="304">
        <f t="shared" ca="1" si="17"/>
        <v>75</v>
      </c>
      <c r="P18" s="310">
        <f t="shared" ca="1" si="18"/>
        <v>3</v>
      </c>
      <c r="Q18" s="304">
        <f t="shared" ca="1" si="19"/>
        <v>1736.5183636363636</v>
      </c>
      <c r="R18" s="306">
        <f t="shared" ca="1" si="20"/>
        <v>1.0442972318699442</v>
      </c>
      <c r="S18" s="307">
        <f t="shared" ca="1" si="21"/>
        <v>23.557263609269302</v>
      </c>
      <c r="T18" s="304">
        <f t="shared" ca="1" si="1"/>
        <v>231.09675600693186</v>
      </c>
      <c r="U18" s="311">
        <f t="shared" ca="1" si="2"/>
        <v>59.81224171600433</v>
      </c>
      <c r="V18" s="306">
        <f t="shared" ca="1" si="3"/>
        <v>1.2249549652919955</v>
      </c>
      <c r="W18" s="304">
        <f t="shared" ca="1" si="4"/>
        <v>0.33466355793528241</v>
      </c>
      <c r="Y18" s="314" t="str">
        <f t="shared" ca="1" si="22"/>
        <v/>
      </c>
      <c r="Z18" s="315" t="str">
        <f t="shared" ca="1" si="23"/>
        <v/>
      </c>
      <c r="AA18" s="316" t="str">
        <f t="shared" ca="1" si="24"/>
        <v/>
      </c>
      <c r="AC18" s="310" t="e">
        <f t="shared" ca="1" si="25"/>
        <v>#N/A</v>
      </c>
      <c r="AD18" s="323" t="e">
        <f t="shared" ca="1" si="26"/>
        <v>#N/A</v>
      </c>
      <c r="AE18" s="324">
        <f t="shared" ca="1" si="5"/>
        <v>0.36763702715105351</v>
      </c>
      <c r="AG18" s="306">
        <f t="shared" ca="1" si="27"/>
        <v>64.227375816846731</v>
      </c>
      <c r="AH18" s="304">
        <f t="shared" ca="1" si="28"/>
        <v>73.703108172742489</v>
      </c>
    </row>
    <row r="19" spans="1:34" x14ac:dyDescent="0.2">
      <c r="A19" s="347">
        <f t="shared" ca="1" si="6"/>
        <v>0.01</v>
      </c>
      <c r="B19" s="304">
        <f t="shared" ca="1" si="7"/>
        <v>0.15</v>
      </c>
      <c r="D19" s="306">
        <f t="shared" ca="1" si="8"/>
        <v>16.704697800427262</v>
      </c>
      <c r="E19" s="307">
        <f t="shared" ca="1" si="9"/>
        <v>62.347148664944299</v>
      </c>
      <c r="F19" s="304">
        <f t="shared" ca="1" si="10"/>
        <v>64.546215034285822</v>
      </c>
      <c r="G19" s="306">
        <f t="shared" ca="1" si="11"/>
        <v>1.9387782401869296</v>
      </c>
      <c r="H19" s="307">
        <f t="shared" ca="1" si="12"/>
        <v>7.2361391459406263</v>
      </c>
      <c r="I19" s="304">
        <f t="shared" ca="1" si="13"/>
        <v>7.4913664176862067</v>
      </c>
      <c r="J19" s="306">
        <f t="shared" ca="1" si="14"/>
        <v>0.11705330970500193</v>
      </c>
      <c r="K19" s="307">
        <f t="shared" ca="1" si="15"/>
        <v>0.43688106117721259</v>
      </c>
      <c r="L19" s="304">
        <f t="shared" ca="1" si="0"/>
        <v>0.45229032592818352</v>
      </c>
      <c r="M19" s="306">
        <f t="shared" ca="1" si="16"/>
        <v>1.3089969389957472</v>
      </c>
      <c r="N19" s="304">
        <f t="shared" ca="1" si="17"/>
        <v>75</v>
      </c>
      <c r="P19" s="310">
        <f t="shared" ca="1" si="18"/>
        <v>3</v>
      </c>
      <c r="Q19" s="304">
        <f t="shared" ca="1" si="19"/>
        <v>1743.3131570247933</v>
      </c>
      <c r="R19" s="306">
        <f t="shared" ca="1" si="20"/>
        <v>1.0483834448782572</v>
      </c>
      <c r="S19" s="307">
        <f t="shared" ca="1" si="21"/>
        <v>23.546779774820521</v>
      </c>
      <c r="T19" s="304">
        <f t="shared" ca="1" si="1"/>
        <v>230.99390959098932</v>
      </c>
      <c r="U19" s="311">
        <f t="shared" ca="1" si="2"/>
        <v>59.78562310483786</v>
      </c>
      <c r="V19" s="306">
        <f t="shared" ca="1" si="3"/>
        <v>1.2249464832390287</v>
      </c>
      <c r="W19" s="304">
        <f t="shared" ca="1" si="4"/>
        <v>0.40074291495385883</v>
      </c>
      <c r="Y19" s="314" t="str">
        <f t="shared" ca="1" si="22"/>
        <v/>
      </c>
      <c r="Z19" s="315" t="str">
        <f t="shared" ca="1" si="23"/>
        <v/>
      </c>
      <c r="AA19" s="316" t="str">
        <f t="shared" ca="1" si="24"/>
        <v/>
      </c>
      <c r="AC19" s="310" t="e">
        <f t="shared" ca="1" si="25"/>
        <v>#N/A</v>
      </c>
      <c r="AD19" s="323" t="e">
        <f t="shared" ca="1" si="26"/>
        <v>#N/A</v>
      </c>
      <c r="AE19" s="324">
        <f t="shared" ca="1" si="5"/>
        <v>0.43688106117721259</v>
      </c>
      <c r="AG19" s="306">
        <f t="shared" ca="1" si="27"/>
        <v>64.546215024386456</v>
      </c>
      <c r="AH19" s="304">
        <f t="shared" ca="1" si="28"/>
        <v>74.021947380282214</v>
      </c>
    </row>
    <row r="20" spans="1:34" x14ac:dyDescent="0.2">
      <c r="A20" s="347">
        <f t="shared" ca="1" si="6"/>
        <v>0.01</v>
      </c>
      <c r="B20" s="304">
        <f t="shared" ca="1" si="7"/>
        <v>0.16</v>
      </c>
      <c r="D20" s="306">
        <f t="shared" ca="1" si="8"/>
        <v>16.787253109829511</v>
      </c>
      <c r="E20" s="307">
        <f t="shared" ca="1" si="9"/>
        <v>62.655268258682398</v>
      </c>
      <c r="F20" s="304">
        <f t="shared" ca="1" si="10"/>
        <v>64.865202593847926</v>
      </c>
      <c r="G20" s="306">
        <f t="shared" ca="1" si="11"/>
        <v>2.1066507712852247</v>
      </c>
      <c r="H20" s="307">
        <f t="shared" ca="1" si="12"/>
        <v>7.8626918285274501</v>
      </c>
      <c r="I20" s="304">
        <f t="shared" ca="1" si="13"/>
        <v>8.1400184436246192</v>
      </c>
      <c r="J20" s="306">
        <f t="shared" ca="1" si="14"/>
        <v>0.1372804547623627</v>
      </c>
      <c r="K20" s="307">
        <f t="shared" ca="1" si="15"/>
        <v>0.51237521604955294</v>
      </c>
      <c r="L20" s="304">
        <f t="shared" ca="1" si="0"/>
        <v>0.53044725023473083</v>
      </c>
      <c r="M20" s="306">
        <f t="shared" ca="1" si="16"/>
        <v>1.3089969389957472</v>
      </c>
      <c r="N20" s="304">
        <f t="shared" ca="1" si="17"/>
        <v>75</v>
      </c>
      <c r="P20" s="310">
        <f t="shared" ca="1" si="18"/>
        <v>3</v>
      </c>
      <c r="Q20" s="304">
        <f t="shared" ca="1" si="19"/>
        <v>1750.1079504132231</v>
      </c>
      <c r="R20" s="306">
        <f t="shared" ca="1" si="20"/>
        <v>1.0524696578865702</v>
      </c>
      <c r="S20" s="307">
        <f t="shared" ca="1" si="21"/>
        <v>23.536255078241656</v>
      </c>
      <c r="T20" s="304">
        <f t="shared" ca="1" si="1"/>
        <v>230.89066231755066</v>
      </c>
      <c r="U20" s="311">
        <f t="shared" ca="1" si="2"/>
        <v>59.758900744117028</v>
      </c>
      <c r="V20" s="306">
        <f t="shared" ca="1" si="3"/>
        <v>1.2249372356439789</v>
      </c>
      <c r="W20" s="304">
        <f t="shared" ca="1" si="4"/>
        <v>0.47314175061067021</v>
      </c>
      <c r="Y20" s="314" t="str">
        <f t="shared" ca="1" si="22"/>
        <v/>
      </c>
      <c r="Z20" s="315" t="str">
        <f t="shared" ca="1" si="23"/>
        <v/>
      </c>
      <c r="AA20" s="316" t="str">
        <f t="shared" ca="1" si="24"/>
        <v/>
      </c>
      <c r="AC20" s="310" t="e">
        <f t="shared" ca="1" si="25"/>
        <v>#N/A</v>
      </c>
      <c r="AD20" s="323" t="e">
        <f t="shared" ca="1" si="26"/>
        <v>#N/A</v>
      </c>
      <c r="AE20" s="324">
        <f t="shared" ca="1" si="5"/>
        <v>0.51237521604955294</v>
      </c>
      <c r="AG20" s="306">
        <f t="shared" ca="1" si="27"/>
        <v>64.865202583911426</v>
      </c>
      <c r="AH20" s="304">
        <f t="shared" ca="1" si="28"/>
        <v>74.340934939807184</v>
      </c>
    </row>
    <row r="21" spans="1:34" x14ac:dyDescent="0.2">
      <c r="A21" s="347">
        <f t="shared" ca="1" si="6"/>
        <v>0.01</v>
      </c>
      <c r="B21" s="304">
        <f t="shared" ca="1" si="7"/>
        <v>0.17</v>
      </c>
      <c r="D21" s="306">
        <f t="shared" ca="1" si="8"/>
        <v>16.86984632198558</v>
      </c>
      <c r="E21" s="307">
        <f t="shared" ca="1" si="9"/>
        <v>62.963529332062151</v>
      </c>
      <c r="F21" s="304">
        <f t="shared" ca="1" si="10"/>
        <v>65.184336622204427</v>
      </c>
      <c r="G21" s="306">
        <f t="shared" ca="1" si="11"/>
        <v>2.2753492345050805</v>
      </c>
      <c r="H21" s="307">
        <f t="shared" ca="1" si="12"/>
        <v>8.4923271218480707</v>
      </c>
      <c r="I21" s="304">
        <f t="shared" ca="1" si="13"/>
        <v>8.791861809846603</v>
      </c>
      <c r="J21" s="306">
        <f t="shared" ca="1" si="14"/>
        <v>0.15919045479131422</v>
      </c>
      <c r="K21" s="307">
        <f t="shared" ca="1" si="15"/>
        <v>0.59415031080143055</v>
      </c>
      <c r="L21" s="304">
        <f t="shared" ca="1" si="0"/>
        <v>0.61510665150208055</v>
      </c>
      <c r="M21" s="306">
        <f t="shared" ca="1" si="16"/>
        <v>1.3089969389957472</v>
      </c>
      <c r="N21" s="304">
        <f t="shared" ca="1" si="17"/>
        <v>75</v>
      </c>
      <c r="P21" s="310">
        <f t="shared" ca="1" si="18"/>
        <v>3</v>
      </c>
      <c r="Q21" s="304">
        <f t="shared" ca="1" si="19"/>
        <v>1756.9027438016528</v>
      </c>
      <c r="R21" s="306">
        <f t="shared" ca="1" si="20"/>
        <v>1.0565558708948835</v>
      </c>
      <c r="S21" s="307">
        <f t="shared" ca="1" si="21"/>
        <v>23.525689519532708</v>
      </c>
      <c r="T21" s="304">
        <f t="shared" ca="1" si="1"/>
        <v>230.78701418661589</v>
      </c>
      <c r="U21" s="311">
        <f t="shared" ca="1" si="2"/>
        <v>59.732074633841833</v>
      </c>
      <c r="V21" s="306">
        <f t="shared" ca="1" si="3"/>
        <v>1.2249272187490772</v>
      </c>
      <c r="W21" s="304">
        <f t="shared" ca="1" si="4"/>
        <v>0.55194861719372523</v>
      </c>
      <c r="Y21" s="314" t="str">
        <f t="shared" ca="1" si="22"/>
        <v/>
      </c>
      <c r="Z21" s="315" t="str">
        <f t="shared" ca="1" si="23"/>
        <v/>
      </c>
      <c r="AA21" s="316" t="str">
        <f t="shared" ca="1" si="24"/>
        <v/>
      </c>
      <c r="AC21" s="310" t="e">
        <f t="shared" ca="1" si="25"/>
        <v>#N/A</v>
      </c>
      <c r="AD21" s="323" t="e">
        <f t="shared" ca="1" si="26"/>
        <v>#N/A</v>
      </c>
      <c r="AE21" s="324">
        <f t="shared" ca="1" si="5"/>
        <v>0.59415031080143055</v>
      </c>
      <c r="AG21" s="306">
        <f t="shared" ca="1" si="27"/>
        <v>65.184336612230709</v>
      </c>
      <c r="AH21" s="304">
        <f t="shared" ca="1" si="28"/>
        <v>74.660068968126467</v>
      </c>
    </row>
    <row r="22" spans="1:34" x14ac:dyDescent="0.2">
      <c r="A22" s="347">
        <f t="shared" ca="1" si="6"/>
        <v>0.01</v>
      </c>
      <c r="B22" s="304">
        <f t="shared" ca="1" si="7"/>
        <v>0.18000000000000002</v>
      </c>
      <c r="D22" s="306">
        <f t="shared" ca="1" si="8"/>
        <v>16.952476943900251</v>
      </c>
      <c r="E22" s="307">
        <f t="shared" ca="1" si="9"/>
        <v>63.271930045332709</v>
      </c>
      <c r="F22" s="304">
        <f t="shared" ca="1" si="10"/>
        <v>65.503615214695941</v>
      </c>
      <c r="G22" s="306">
        <f t="shared" ca="1" si="11"/>
        <v>2.4448740039440828</v>
      </c>
      <c r="H22" s="307">
        <f t="shared" ca="1" si="12"/>
        <v>9.1250464223013985</v>
      </c>
      <c r="I22" s="304">
        <f t="shared" ca="1" si="13"/>
        <v>9.4468979619935105</v>
      </c>
      <c r="J22" s="306">
        <f t="shared" ca="1" si="14"/>
        <v>0.18279157098356003</v>
      </c>
      <c r="K22" s="307">
        <f t="shared" ca="1" si="15"/>
        <v>0.68223717852217791</v>
      </c>
      <c r="L22" s="304">
        <f t="shared" ca="1" si="0"/>
        <v>0.70630045036127498</v>
      </c>
      <c r="M22" s="306">
        <f t="shared" ca="1" si="16"/>
        <v>1.3089969389957472</v>
      </c>
      <c r="N22" s="304">
        <f t="shared" ca="1" si="17"/>
        <v>75</v>
      </c>
      <c r="P22" s="310">
        <f t="shared" ca="1" si="18"/>
        <v>3</v>
      </c>
      <c r="Q22" s="304">
        <f t="shared" ca="1" si="19"/>
        <v>1763.6975371900826</v>
      </c>
      <c r="R22" s="306">
        <f t="shared" ca="1" si="20"/>
        <v>1.0606420839031965</v>
      </c>
      <c r="S22" s="307">
        <f t="shared" ca="1" si="21"/>
        <v>23.515083098693676</v>
      </c>
      <c r="T22" s="304">
        <f t="shared" ca="1" si="1"/>
        <v>230.68296519818497</v>
      </c>
      <c r="U22" s="311">
        <f t="shared" ca="1" si="2"/>
        <v>59.705144774012261</v>
      </c>
      <c r="V22" s="306">
        <f t="shared" ca="1" si="3"/>
        <v>1.2249164287964001</v>
      </c>
      <c r="W22" s="304">
        <f t="shared" ca="1" si="4"/>
        <v>0.63725252729821924</v>
      </c>
      <c r="Y22" s="314" t="str">
        <f t="shared" ca="1" si="22"/>
        <v/>
      </c>
      <c r="Z22" s="315" t="str">
        <f t="shared" ca="1" si="23"/>
        <v/>
      </c>
      <c r="AA22" s="316" t="str">
        <f t="shared" ca="1" si="24"/>
        <v/>
      </c>
      <c r="AC22" s="310" t="e">
        <f t="shared" ca="1" si="25"/>
        <v>#N/A</v>
      </c>
      <c r="AD22" s="323" t="e">
        <f t="shared" ca="1" si="26"/>
        <v>#N/A</v>
      </c>
      <c r="AE22" s="324">
        <f t="shared" ca="1" si="5"/>
        <v>0.68223717852217791</v>
      </c>
      <c r="AG22" s="306">
        <f t="shared" ca="1" si="27"/>
        <v>65.503615204684877</v>
      </c>
      <c r="AH22" s="304">
        <f t="shared" ca="1" si="28"/>
        <v>74.979347560580635</v>
      </c>
    </row>
    <row r="23" spans="1:34" x14ac:dyDescent="0.2">
      <c r="A23" s="347">
        <f t="shared" ca="1" si="6"/>
        <v>0.01</v>
      </c>
      <c r="B23" s="304">
        <f t="shared" ca="1" si="7"/>
        <v>0.19000000000000003</v>
      </c>
      <c r="D23" s="306">
        <f t="shared" ca="1" si="8"/>
        <v>17.035144477011702</v>
      </c>
      <c r="E23" s="307">
        <f t="shared" ca="1" si="9"/>
        <v>63.580468537968784</v>
      </c>
      <c r="F23" s="304">
        <f t="shared" ca="1" si="10"/>
        <v>65.823036445155736</v>
      </c>
      <c r="G23" s="306">
        <f t="shared" ca="1" si="11"/>
        <v>2.6152254487141997</v>
      </c>
      <c r="H23" s="307">
        <f t="shared" ca="1" si="12"/>
        <v>9.760851107681086</v>
      </c>
      <c r="I23" s="304">
        <f t="shared" ca="1" si="13"/>
        <v>10.105128326445017</v>
      </c>
      <c r="J23" s="306">
        <f t="shared" ca="1" si="14"/>
        <v>0.20809206824685145</v>
      </c>
      <c r="K23" s="307">
        <f t="shared" ca="1" si="15"/>
        <v>0.77666666617209035</v>
      </c>
      <c r="L23" s="304">
        <f t="shared" ca="1" si="0"/>
        <v>0.80406058180346185</v>
      </c>
      <c r="M23" s="306">
        <f t="shared" ca="1" si="16"/>
        <v>1.3089969389957472</v>
      </c>
      <c r="N23" s="304">
        <f t="shared" ca="1" si="17"/>
        <v>75</v>
      </c>
      <c r="P23" s="310">
        <f t="shared" ca="1" si="18"/>
        <v>3</v>
      </c>
      <c r="Q23" s="304">
        <f t="shared" ca="1" si="19"/>
        <v>1770.4923305785123</v>
      </c>
      <c r="R23" s="306">
        <f t="shared" ca="1" si="20"/>
        <v>1.0647282969115095</v>
      </c>
      <c r="S23" s="307">
        <f t="shared" ca="1" si="21"/>
        <v>23.504435815724563</v>
      </c>
      <c r="T23" s="304">
        <f t="shared" ca="1" si="1"/>
        <v>230.57851535225797</v>
      </c>
      <c r="U23" s="311">
        <f t="shared" ca="1" si="2"/>
        <v>59.678111164628326</v>
      </c>
      <c r="V23" s="306">
        <f t="shared" ca="1" si="3"/>
        <v>1.2249048620279184</v>
      </c>
      <c r="W23" s="304">
        <f t="shared" ca="1" si="4"/>
        <v>0.72914295278764563</v>
      </c>
      <c r="Y23" s="314" t="str">
        <f t="shared" ca="1" si="22"/>
        <v/>
      </c>
      <c r="Z23" s="315" t="str">
        <f t="shared" ca="1" si="23"/>
        <v/>
      </c>
      <c r="AA23" s="316" t="str">
        <f t="shared" ca="1" si="24"/>
        <v/>
      </c>
      <c r="AC23" s="310" t="e">
        <f t="shared" ca="1" si="25"/>
        <v>#N/A</v>
      </c>
      <c r="AD23" s="323" t="e">
        <f t="shared" ca="1" si="26"/>
        <v>#N/A</v>
      </c>
      <c r="AE23" s="324">
        <f t="shared" ca="1" si="5"/>
        <v>0.77666666617209035</v>
      </c>
      <c r="AG23" s="306">
        <f t="shared" ca="1" si="27"/>
        <v>65.823036435107255</v>
      </c>
      <c r="AH23" s="304">
        <f t="shared" ca="1" si="28"/>
        <v>75.298768791003013</v>
      </c>
    </row>
    <row r="24" spans="1:34" x14ac:dyDescent="0.2">
      <c r="A24" s="347">
        <f t="shared" ca="1" si="6"/>
        <v>0.01</v>
      </c>
      <c r="B24" s="304">
        <f t="shared" ca="1" si="7"/>
        <v>0.20000000000000004</v>
      </c>
      <c r="D24" s="306">
        <f t="shared" ca="1" si="8"/>
        <v>17.117848417181722</v>
      </c>
      <c r="E24" s="307">
        <f t="shared" ca="1" si="9"/>
        <v>63.889142928634271</v>
      </c>
      <c r="F24" s="304">
        <f t="shared" ca="1" si="10"/>
        <v>66.142598365872118</v>
      </c>
      <c r="G24" s="306">
        <f t="shared" ca="1" si="11"/>
        <v>2.7864039328860168</v>
      </c>
      <c r="H24" s="307">
        <f t="shared" ca="1" si="12"/>
        <v>10.399742536967429</v>
      </c>
      <c r="I24" s="304">
        <f t="shared" ca="1" si="13"/>
        <v>10.766554310103691</v>
      </c>
      <c r="J24" s="306">
        <f t="shared" ca="1" si="14"/>
        <v>0.23510021515485252</v>
      </c>
      <c r="K24" s="307">
        <f t="shared" ca="1" si="15"/>
        <v>0.87746963439533288</v>
      </c>
      <c r="L24" s="304">
        <f t="shared" ca="1" si="0"/>
        <v>0.90841899498619971</v>
      </c>
      <c r="M24" s="306">
        <f t="shared" ca="1" si="16"/>
        <v>1.3089969389957472</v>
      </c>
      <c r="N24" s="304">
        <f t="shared" ca="1" si="17"/>
        <v>75</v>
      </c>
      <c r="P24" s="310">
        <f t="shared" ca="1" si="18"/>
        <v>3</v>
      </c>
      <c r="Q24" s="304">
        <f t="shared" ca="1" si="19"/>
        <v>1777.2871239669421</v>
      </c>
      <c r="R24" s="306">
        <f t="shared" ca="1" si="20"/>
        <v>1.0688145099198225</v>
      </c>
      <c r="S24" s="307">
        <f t="shared" ca="1" si="21"/>
        <v>23.493747670625364</v>
      </c>
      <c r="T24" s="304">
        <f t="shared" ca="1" si="1"/>
        <v>230.47366464883484</v>
      </c>
      <c r="U24" s="311">
        <f t="shared" ca="1" si="2"/>
        <v>59.650973805690022</v>
      </c>
      <c r="V24" s="306">
        <f t="shared" ca="1" si="3"/>
        <v>1.2248925146855414</v>
      </c>
      <c r="W24" s="304">
        <f t="shared" ca="1" si="4"/>
        <v>0.82770982371983959</v>
      </c>
      <c r="Y24" s="314" t="str">
        <f t="shared" ca="1" si="22"/>
        <v/>
      </c>
      <c r="Z24" s="315" t="str">
        <f t="shared" ca="1" si="23"/>
        <v/>
      </c>
      <c r="AA24" s="316" t="str">
        <f t="shared" ca="1" si="24"/>
        <v/>
      </c>
      <c r="AC24" s="310" t="e">
        <f t="shared" ca="1" si="25"/>
        <v>#N/A</v>
      </c>
      <c r="AD24" s="323" t="e">
        <f t="shared" ca="1" si="26"/>
        <v>#N/A</v>
      </c>
      <c r="AE24" s="324">
        <f t="shared" ca="1" si="5"/>
        <v>0.87746963439533288</v>
      </c>
      <c r="AG24" s="306">
        <f t="shared" ca="1" si="27"/>
        <v>66.14259835578612</v>
      </c>
      <c r="AH24" s="304">
        <f t="shared" ca="1" si="28"/>
        <v>75.618330711681878</v>
      </c>
    </row>
    <row r="25" spans="1:34" x14ac:dyDescent="0.2">
      <c r="A25" s="347">
        <f t="shared" ca="1" si="6"/>
        <v>0.01</v>
      </c>
      <c r="B25" s="304">
        <f t="shared" ca="1" si="7"/>
        <v>0.21000000000000005</v>
      </c>
      <c r="D25" s="306">
        <f t="shared" ca="1" si="8"/>
        <v>17.172804338930636</v>
      </c>
      <c r="E25" s="307">
        <f t="shared" ca="1" si="9"/>
        <v>64.094253996529787</v>
      </c>
      <c r="F25" s="304">
        <f t="shared" ca="1" si="10"/>
        <v>66.354944082825284</v>
      </c>
      <c r="G25" s="306">
        <f t="shared" ca="1" si="11"/>
        <v>2.9581319762753231</v>
      </c>
      <c r="H25" s="307">
        <f t="shared" ca="1" si="12"/>
        <v>11.040685076932727</v>
      </c>
      <c r="I25" s="304">
        <f t="shared" ca="1" si="13"/>
        <v>11.430103750931902</v>
      </c>
      <c r="J25" s="306">
        <f t="shared" ca="1" si="14"/>
        <v>0.26382289470065923</v>
      </c>
      <c r="K25" s="307">
        <f t="shared" ca="1" si="15"/>
        <v>0.98467177246483362</v>
      </c>
      <c r="L25" s="304">
        <f t="shared" ca="1" si="0"/>
        <v>1.0194022852913722</v>
      </c>
      <c r="M25" s="306">
        <f t="shared" ca="1" si="16"/>
        <v>1.3089969389957472</v>
      </c>
      <c r="N25" s="304">
        <f t="shared" ca="1" si="17"/>
        <v>75</v>
      </c>
      <c r="P25" s="310">
        <f t="shared" ca="1" si="18"/>
        <v>4</v>
      </c>
      <c r="Q25" s="304">
        <f t="shared" ca="1" si="19"/>
        <v>1781.5620487804879</v>
      </c>
      <c r="R25" s="306">
        <f t="shared" ca="1" si="20"/>
        <v>1.0713853391392092</v>
      </c>
      <c r="S25" s="307">
        <f t="shared" ca="1" si="21"/>
        <v>23.483033817233974</v>
      </c>
      <c r="T25" s="304">
        <f t="shared" ca="1" si="1"/>
        <v>230.36856174706529</v>
      </c>
      <c r="U25" s="311">
        <f t="shared" ca="1" si="2"/>
        <v>59.623771173016522</v>
      </c>
      <c r="V25" s="306">
        <f t="shared" ca="1" si="3"/>
        <v>1.224879383646249</v>
      </c>
      <c r="W25" s="304">
        <f t="shared" ca="1" si="4"/>
        <v>0.93286828397966881</v>
      </c>
      <c r="Y25" s="314" t="str">
        <f t="shared" ca="1" si="22"/>
        <v/>
      </c>
      <c r="Z25" s="315" t="str">
        <f t="shared" ca="1" si="23"/>
        <v/>
      </c>
      <c r="AA25" s="316" t="str">
        <f t="shared" ca="1" si="24"/>
        <v/>
      </c>
      <c r="AC25" s="310" t="e">
        <f t="shared" ca="1" si="25"/>
        <v>#N/A</v>
      </c>
      <c r="AD25" s="323" t="e">
        <f t="shared" ca="1" si="26"/>
        <v>#N/A</v>
      </c>
      <c r="AE25" s="324">
        <f t="shared" ca="1" si="5"/>
        <v>0.98467177246483362</v>
      </c>
      <c r="AG25" s="306">
        <f t="shared" ca="1" si="27"/>
        <v>66.354944072713906</v>
      </c>
      <c r="AH25" s="304">
        <f t="shared" ca="1" si="28"/>
        <v>75.830676428609664</v>
      </c>
    </row>
    <row r="26" spans="1:34" x14ac:dyDescent="0.2">
      <c r="A26" s="347">
        <f t="shared" ca="1" si="6"/>
        <v>0.01</v>
      </c>
      <c r="B26" s="304">
        <f t="shared" ca="1" si="7"/>
        <v>0.22000000000000006</v>
      </c>
      <c r="D26" s="306">
        <f t="shared" ca="1" si="8"/>
        <v>17.18606437391643</v>
      </c>
      <c r="E26" s="307">
        <f t="shared" ca="1" si="9"/>
        <v>64.143744408717964</v>
      </c>
      <c r="F26" s="304">
        <f t="shared" ca="1" si="10"/>
        <v>66.406180099711634</v>
      </c>
      <c r="G26" s="306">
        <f t="shared" ca="1" si="11"/>
        <v>3.1299926200144874</v>
      </c>
      <c r="H26" s="307">
        <f t="shared" ca="1" si="12"/>
        <v>11.682122521019906</v>
      </c>
      <c r="I26" s="304">
        <f t="shared" ca="1" si="13"/>
        <v>12.094165551928981</v>
      </c>
      <c r="J26" s="306">
        <f t="shared" ca="1" si="14"/>
        <v>0.29426351768210829</v>
      </c>
      <c r="K26" s="307">
        <f t="shared" ca="1" si="15"/>
        <v>1.0982858104545967</v>
      </c>
      <c r="L26" s="304">
        <f t="shared" ca="1" si="0"/>
        <v>1.1370236318056712</v>
      </c>
      <c r="M26" s="306">
        <f t="shared" ca="1" si="16"/>
        <v>1.3089969389957472</v>
      </c>
      <c r="N26" s="304">
        <f t="shared" ca="1" si="17"/>
        <v>75</v>
      </c>
      <c r="P26" s="310">
        <f t="shared" ca="1" si="18"/>
        <v>4</v>
      </c>
      <c r="Q26" s="304">
        <f t="shared" ca="1" si="19"/>
        <v>1782.0571707317074</v>
      </c>
      <c r="R26" s="306">
        <f t="shared" ca="1" si="20"/>
        <v>1.0716830926752063</v>
      </c>
      <c r="S26" s="307">
        <f t="shared" ca="1" si="21"/>
        <v>23.47231698630722</v>
      </c>
      <c r="T26" s="304">
        <f t="shared" ca="1" si="1"/>
        <v>230.26342963567384</v>
      </c>
      <c r="U26" s="311">
        <f t="shared" ca="1" si="2"/>
        <v>59.596560980336577</v>
      </c>
      <c r="V26" s="306">
        <f t="shared" ca="1" si="3"/>
        <v>1.2248654673759831</v>
      </c>
      <c r="W26" s="304">
        <f t="shared" ca="1" si="4"/>
        <v>1.0444000097087913</v>
      </c>
      <c r="Y26" s="314" t="str">
        <f t="shared" ca="1" si="22"/>
        <v/>
      </c>
      <c r="Z26" s="315" t="str">
        <f t="shared" ca="1" si="23"/>
        <v/>
      </c>
      <c r="AA26" s="316" t="str">
        <f t="shared" ca="1" si="24"/>
        <v/>
      </c>
      <c r="AC26" s="310" t="e">
        <f t="shared" ca="1" si="25"/>
        <v>#N/A</v>
      </c>
      <c r="AD26" s="323" t="e">
        <f t="shared" ca="1" si="26"/>
        <v>#N/A</v>
      </c>
      <c r="AE26" s="324">
        <f t="shared" ca="1" si="5"/>
        <v>1.0982858104545967</v>
      </c>
      <c r="AG26" s="306">
        <f t="shared" ca="1" si="27"/>
        <v>66.406180089593207</v>
      </c>
      <c r="AH26" s="304">
        <f t="shared" ca="1" si="28"/>
        <v>75.881912445488965</v>
      </c>
    </row>
    <row r="27" spans="1:34" x14ac:dyDescent="0.2">
      <c r="A27" s="347">
        <f t="shared" ca="1" si="6"/>
        <v>0.01</v>
      </c>
      <c r="B27" s="304">
        <f t="shared" ca="1" si="7"/>
        <v>0.23000000000000007</v>
      </c>
      <c r="D27" s="306">
        <f t="shared" ca="1" si="8"/>
        <v>17.199268709481373</v>
      </c>
      <c r="E27" s="307">
        <f t="shared" ca="1" si="9"/>
        <v>64.193026951410161</v>
      </c>
      <c r="F27" s="304">
        <f t="shared" ca="1" si="10"/>
        <v>66.457200914012446</v>
      </c>
      <c r="G27" s="306">
        <f t="shared" ca="1" si="11"/>
        <v>3.3019853071093013</v>
      </c>
      <c r="H27" s="307">
        <f t="shared" ca="1" si="12"/>
        <v>12.324052790534008</v>
      </c>
      <c r="I27" s="304">
        <f t="shared" ca="1" si="13"/>
        <v>12.758737561069072</v>
      </c>
      <c r="J27" s="306">
        <f t="shared" ca="1" si="14"/>
        <v>0.32642340731772723</v>
      </c>
      <c r="K27" s="307">
        <f t="shared" ca="1" si="15"/>
        <v>1.2183166870123663</v>
      </c>
      <c r="L27" s="304">
        <f t="shared" ca="1" si="0"/>
        <v>1.2612881473706565</v>
      </c>
      <c r="M27" s="306">
        <f t="shared" ca="1" si="16"/>
        <v>1.3089969389957472</v>
      </c>
      <c r="N27" s="304">
        <f t="shared" ca="1" si="17"/>
        <v>75</v>
      </c>
      <c r="P27" s="310">
        <f t="shared" ca="1" si="18"/>
        <v>4</v>
      </c>
      <c r="Q27" s="304">
        <f t="shared" ca="1" si="19"/>
        <v>1782.5522926829269</v>
      </c>
      <c r="R27" s="306">
        <f t="shared" ca="1" si="20"/>
        <v>1.0719808462112035</v>
      </c>
      <c r="S27" s="307">
        <f t="shared" ca="1" si="21"/>
        <v>23.461597177845107</v>
      </c>
      <c r="T27" s="304">
        <f t="shared" ca="1" si="1"/>
        <v>230.15826831466052</v>
      </c>
      <c r="U27" s="311">
        <f t="shared" ca="1" si="2"/>
        <v>59.569343227650194</v>
      </c>
      <c r="V27" s="306">
        <f t="shared" ca="1" si="3"/>
        <v>1.2248507652965974</v>
      </c>
      <c r="W27" s="304">
        <f t="shared" ca="1" si="4"/>
        <v>1.1623187526316516</v>
      </c>
      <c r="Y27" s="314" t="str">
        <f t="shared" ca="1" si="22"/>
        <v/>
      </c>
      <c r="Z27" s="315" t="str">
        <f t="shared" ca="1" si="23"/>
        <v/>
      </c>
      <c r="AA27" s="316" t="str">
        <f t="shared" ca="1" si="24"/>
        <v/>
      </c>
      <c r="AC27" s="310" t="e">
        <f t="shared" ca="1" si="25"/>
        <v>#N/A</v>
      </c>
      <c r="AD27" s="323" t="e">
        <f t="shared" ca="1" si="26"/>
        <v>#N/A</v>
      </c>
      <c r="AE27" s="324">
        <f t="shared" ca="1" si="5"/>
        <v>1.2183166870123663</v>
      </c>
      <c r="AG27" s="306">
        <f t="shared" ca="1" si="27"/>
        <v>66.457200903886914</v>
      </c>
      <c r="AH27" s="304">
        <f t="shared" ca="1" si="28"/>
        <v>75.932933259782672</v>
      </c>
    </row>
    <row r="28" spans="1:34" x14ac:dyDescent="0.2">
      <c r="A28" s="347">
        <f t="shared" ca="1" si="6"/>
        <v>0.01</v>
      </c>
      <c r="B28" s="304">
        <f t="shared" ca="1" si="7"/>
        <v>0.24000000000000007</v>
      </c>
      <c r="D28" s="306">
        <f t="shared" ca="1" si="8"/>
        <v>17.2124171224986</v>
      </c>
      <c r="E28" s="307">
        <f t="shared" ca="1" si="9"/>
        <v>64.242100791891687</v>
      </c>
      <c r="F28" s="304">
        <f t="shared" ca="1" si="10"/>
        <v>66.508005663637618</v>
      </c>
      <c r="G28" s="306">
        <f t="shared" ca="1" si="11"/>
        <v>3.4741094783342872</v>
      </c>
      <c r="H28" s="307">
        <f t="shared" ca="1" si="12"/>
        <v>12.966473798452926</v>
      </c>
      <c r="I28" s="304">
        <f t="shared" ca="1" si="13"/>
        <v>13.423817617705419</v>
      </c>
      <c r="J28" s="306">
        <f t="shared" ca="1" si="14"/>
        <v>0.36030388124494517</v>
      </c>
      <c r="K28" s="307">
        <f t="shared" ca="1" si="15"/>
        <v>1.344769319957301</v>
      </c>
      <c r="L28" s="304">
        <f t="shared" ca="1" si="0"/>
        <v>1.392200923264524</v>
      </c>
      <c r="M28" s="306">
        <f t="shared" ca="1" si="16"/>
        <v>1.3089969389957472</v>
      </c>
      <c r="N28" s="304">
        <f t="shared" ca="1" si="17"/>
        <v>75</v>
      </c>
      <c r="P28" s="310">
        <f t="shared" ca="1" si="18"/>
        <v>4</v>
      </c>
      <c r="Q28" s="304">
        <f t="shared" ca="1" si="19"/>
        <v>1783.0474146341464</v>
      </c>
      <c r="R28" s="306">
        <f t="shared" ca="1" si="20"/>
        <v>1.0722785997472004</v>
      </c>
      <c r="S28" s="307">
        <f t="shared" ca="1" si="21"/>
        <v>23.450874391847634</v>
      </c>
      <c r="T28" s="304">
        <f t="shared" ca="1" si="1"/>
        <v>230.05307778402531</v>
      </c>
      <c r="U28" s="311">
        <f t="shared" ca="1" si="2"/>
        <v>59.542117914957359</v>
      </c>
      <c r="V28" s="306">
        <f t="shared" ca="1" si="3"/>
        <v>1.2248352768340385</v>
      </c>
      <c r="W28" s="304">
        <f t="shared" ca="1" si="4"/>
        <v>1.2866381668371523</v>
      </c>
      <c r="Y28" s="314" t="str">
        <f t="shared" ca="1" si="22"/>
        <v/>
      </c>
      <c r="Z28" s="315" t="str">
        <f t="shared" ca="1" si="23"/>
        <v/>
      </c>
      <c r="AA28" s="316" t="str">
        <f t="shared" ca="1" si="24"/>
        <v/>
      </c>
      <c r="AC28" s="310" t="e">
        <f t="shared" ca="1" si="25"/>
        <v>#N/A</v>
      </c>
      <c r="AD28" s="323" t="e">
        <f t="shared" ca="1" si="26"/>
        <v>#N/A</v>
      </c>
      <c r="AE28" s="324">
        <f t="shared" ca="1" si="5"/>
        <v>1.344769319957301</v>
      </c>
      <c r="AG28" s="306">
        <f t="shared" ca="1" si="27"/>
        <v>66.508005653504952</v>
      </c>
      <c r="AH28" s="304">
        <f t="shared" ca="1" si="28"/>
        <v>75.98373800940071</v>
      </c>
    </row>
    <row r="29" spans="1:34" x14ac:dyDescent="0.2">
      <c r="A29" s="347">
        <f t="shared" ca="1" si="6"/>
        <v>0.01</v>
      </c>
      <c r="B29" s="304">
        <f t="shared" ca="1" si="7"/>
        <v>0.25000000000000006</v>
      </c>
      <c r="D29" s="306">
        <f t="shared" ca="1" si="8"/>
        <v>17.225509390468439</v>
      </c>
      <c r="E29" s="307">
        <f t="shared" ca="1" si="9"/>
        <v>64.290965099788664</v>
      </c>
      <c r="F29" s="304">
        <f t="shared" ca="1" si="10"/>
        <v>66.558593488920422</v>
      </c>
      <c r="G29" s="306">
        <f t="shared" ca="1" si="11"/>
        <v>3.6463645722389715</v>
      </c>
      <c r="H29" s="307">
        <f t="shared" ca="1" si="12"/>
        <v>13.609383449450812</v>
      </c>
      <c r="I29" s="304">
        <f t="shared" ca="1" si="13"/>
        <v>14.089403552594593</v>
      </c>
      <c r="J29" s="306">
        <f t="shared" ca="1" si="14"/>
        <v>0.39590625149781145</v>
      </c>
      <c r="K29" s="307">
        <f t="shared" ca="1" si="15"/>
        <v>1.4776486061968197</v>
      </c>
      <c r="L29" s="304">
        <f t="shared" ca="1" si="0"/>
        <v>1.5297670291160195</v>
      </c>
      <c r="M29" s="306">
        <f t="shared" ca="1" si="16"/>
        <v>1.3089969389957472</v>
      </c>
      <c r="N29" s="304">
        <f t="shared" ca="1" si="17"/>
        <v>75</v>
      </c>
      <c r="P29" s="310">
        <f t="shared" ca="1" si="18"/>
        <v>4</v>
      </c>
      <c r="Q29" s="304">
        <f t="shared" ca="1" si="19"/>
        <v>1783.542536585366</v>
      </c>
      <c r="R29" s="306">
        <f t="shared" ca="1" si="20"/>
        <v>1.0725763532831976</v>
      </c>
      <c r="S29" s="307">
        <f t="shared" ca="1" si="21"/>
        <v>23.440148628314802</v>
      </c>
      <c r="T29" s="304">
        <f t="shared" ca="1" si="1"/>
        <v>229.94785804376821</v>
      </c>
      <c r="U29" s="311">
        <f t="shared" ca="1" si="2"/>
        <v>59.514885042258079</v>
      </c>
      <c r="V29" s="306">
        <f t="shared" ca="1" si="3"/>
        <v>1.2248190014183562</v>
      </c>
      <c r="W29" s="304">
        <f t="shared" ca="1" si="4"/>
        <v>1.4173718081031412</v>
      </c>
      <c r="Y29" s="314" t="str">
        <f t="shared" ca="1" si="22"/>
        <v/>
      </c>
      <c r="Z29" s="315" t="str">
        <f t="shared" ca="1" si="23"/>
        <v/>
      </c>
      <c r="AA29" s="316" t="str">
        <f t="shared" ca="1" si="24"/>
        <v/>
      </c>
      <c r="AC29" s="310" t="e">
        <f t="shared" ca="1" si="25"/>
        <v>#N/A</v>
      </c>
      <c r="AD29" s="323" t="e">
        <f t="shared" ca="1" si="26"/>
        <v>#N/A</v>
      </c>
      <c r="AE29" s="324">
        <f t="shared" ca="1" si="5"/>
        <v>1.4776486061968197</v>
      </c>
      <c r="AG29" s="306">
        <f t="shared" ca="1" si="27"/>
        <v>66.558593478780566</v>
      </c>
      <c r="AH29" s="304">
        <f t="shared" ca="1" si="28"/>
        <v>76.034325834676324</v>
      </c>
    </row>
    <row r="30" spans="1:34" x14ac:dyDescent="0.2">
      <c r="A30" s="347">
        <f t="shared" ca="1" si="6"/>
        <v>0.01</v>
      </c>
      <c r="B30" s="304">
        <f t="shared" ca="1" si="7"/>
        <v>0.26000000000000006</v>
      </c>
      <c r="D30" s="306">
        <f t="shared" ca="1" si="8"/>
        <v>17.23854529152706</v>
      </c>
      <c r="E30" s="307">
        <f t="shared" ca="1" si="9"/>
        <v>64.339619047100172</v>
      </c>
      <c r="F30" s="304">
        <f t="shared" ca="1" si="10"/>
        <v>66.608963532650804</v>
      </c>
      <c r="G30" s="306">
        <f t="shared" ca="1" si="11"/>
        <v>3.8187500251542419</v>
      </c>
      <c r="H30" s="307">
        <f t="shared" ca="1" si="12"/>
        <v>14.252779639921814</v>
      </c>
      <c r="I30" s="304">
        <f t="shared" ca="1" si="13"/>
        <v>14.755493187921077</v>
      </c>
      <c r="J30" s="306">
        <f t="shared" ca="1" si="14"/>
        <v>0.43323182448477754</v>
      </c>
      <c r="K30" s="307">
        <f t="shared" ca="1" si="15"/>
        <v>1.6169594216436829</v>
      </c>
      <c r="L30" s="304">
        <f t="shared" ca="1" si="0"/>
        <v>1.6739915128185934</v>
      </c>
      <c r="M30" s="306">
        <f t="shared" ca="1" si="16"/>
        <v>1.3089969389957472</v>
      </c>
      <c r="N30" s="304">
        <f t="shared" ca="1" si="17"/>
        <v>75</v>
      </c>
      <c r="P30" s="310">
        <f t="shared" ca="1" si="18"/>
        <v>4</v>
      </c>
      <c r="Q30" s="304">
        <f t="shared" ca="1" si="19"/>
        <v>1784.0376585365855</v>
      </c>
      <c r="R30" s="306">
        <f t="shared" ca="1" si="20"/>
        <v>1.0728741068191947</v>
      </c>
      <c r="S30" s="307">
        <f t="shared" ca="1" si="21"/>
        <v>23.42941988724661</v>
      </c>
      <c r="T30" s="304">
        <f t="shared" ca="1" si="1"/>
        <v>229.84260909388925</v>
      </c>
      <c r="U30" s="311">
        <f t="shared" ca="1" si="2"/>
        <v>59.487644609552369</v>
      </c>
      <c r="V30" s="306">
        <f t="shared" ca="1" si="3"/>
        <v>1.2248019384837205</v>
      </c>
      <c r="W30" s="304">
        <f t="shared" ca="1" si="4"/>
        <v>1.5545331332230328</v>
      </c>
      <c r="Y30" s="314" t="str">
        <f t="shared" ca="1" si="22"/>
        <v/>
      </c>
      <c r="Z30" s="315" t="str">
        <f t="shared" ca="1" si="23"/>
        <v/>
      </c>
      <c r="AA30" s="316" t="str">
        <f t="shared" ca="1" si="24"/>
        <v/>
      </c>
      <c r="AC30" s="310" t="e">
        <f t="shared" ca="1" si="25"/>
        <v>#N/A</v>
      </c>
      <c r="AD30" s="323" t="e">
        <f t="shared" ca="1" si="26"/>
        <v>#N/A</v>
      </c>
      <c r="AE30" s="324">
        <f t="shared" ca="1" si="5"/>
        <v>1.6169594216436829</v>
      </c>
      <c r="AG30" s="306">
        <f t="shared" ca="1" si="27"/>
        <v>66.6089635225037</v>
      </c>
      <c r="AH30" s="304">
        <f t="shared" ca="1" si="28"/>
        <v>76.084695878399458</v>
      </c>
    </row>
    <row r="31" spans="1:34" x14ac:dyDescent="0.2">
      <c r="A31" s="347">
        <f t="shared" ca="1" si="6"/>
        <v>0.01</v>
      </c>
      <c r="B31" s="304">
        <f t="shared" ca="1" si="7"/>
        <v>0.27000000000000007</v>
      </c>
      <c r="D31" s="306">
        <f t="shared" ca="1" si="8"/>
        <v>17.251524604455074</v>
      </c>
      <c r="E31" s="307">
        <f t="shared" ca="1" si="9"/>
        <v>64.388061808230404</v>
      </c>
      <c r="F31" s="304">
        <f t="shared" ca="1" si="10"/>
        <v>66.659114940108651</v>
      </c>
      <c r="G31" s="306">
        <f t="shared" ca="1" si="11"/>
        <v>3.9912652711987926</v>
      </c>
      <c r="H31" s="307">
        <f t="shared" ca="1" si="12"/>
        <v>14.896660258004118</v>
      </c>
      <c r="I31" s="304">
        <f t="shared" ca="1" si="13"/>
        <v>15.422084337322142</v>
      </c>
      <c r="J31" s="306">
        <f t="shared" ca="1" si="14"/>
        <v>0.47228190096654271</v>
      </c>
      <c r="K31" s="307">
        <f t="shared" ca="1" si="15"/>
        <v>1.7627066211333124</v>
      </c>
      <c r="L31" s="304">
        <f t="shared" ca="1" si="0"/>
        <v>1.824879400444805</v>
      </c>
      <c r="M31" s="306">
        <f t="shared" ca="1" si="16"/>
        <v>1.3089969389957472</v>
      </c>
      <c r="N31" s="304">
        <f t="shared" ca="1" si="17"/>
        <v>75</v>
      </c>
      <c r="P31" s="310">
        <f t="shared" ca="1" si="18"/>
        <v>4</v>
      </c>
      <c r="Q31" s="304">
        <f t="shared" ca="1" si="19"/>
        <v>1784.532780487805</v>
      </c>
      <c r="R31" s="306">
        <f t="shared" ca="1" si="20"/>
        <v>1.0731718603551916</v>
      </c>
      <c r="S31" s="307">
        <f t="shared" ca="1" si="21"/>
        <v>23.418688168643058</v>
      </c>
      <c r="T31" s="304">
        <f t="shared" ca="1" si="1"/>
        <v>229.73733093438841</v>
      </c>
      <c r="U31" s="311">
        <f t="shared" ca="1" si="2"/>
        <v>59.460396616840207</v>
      </c>
      <c r="V31" s="306">
        <f t="shared" ca="1" si="3"/>
        <v>1.2247840874684339</v>
      </c>
      <c r="W31" s="304">
        <f t="shared" ca="1" si="4"/>
        <v>1.6981354993345872</v>
      </c>
      <c r="Y31" s="314" t="str">
        <f t="shared" ca="1" si="22"/>
        <v/>
      </c>
      <c r="Z31" s="315" t="str">
        <f t="shared" ca="1" si="23"/>
        <v/>
      </c>
      <c r="AA31" s="316" t="str">
        <f t="shared" ca="1" si="24"/>
        <v/>
      </c>
      <c r="AC31" s="310" t="e">
        <f t="shared" ca="1" si="25"/>
        <v>#N/A</v>
      </c>
      <c r="AD31" s="323" t="e">
        <f t="shared" ca="1" si="26"/>
        <v>#N/A</v>
      </c>
      <c r="AE31" s="324">
        <f t="shared" ca="1" si="5"/>
        <v>1.7627066211333124</v>
      </c>
      <c r="AG31" s="306">
        <f t="shared" ca="1" si="27"/>
        <v>66.659114929954271</v>
      </c>
      <c r="AH31" s="304">
        <f t="shared" ca="1" si="28"/>
        <v>76.134847285850029</v>
      </c>
    </row>
    <row r="32" spans="1:34" x14ac:dyDescent="0.2">
      <c r="A32" s="347">
        <f t="shared" ca="1" si="6"/>
        <v>0.01</v>
      </c>
      <c r="B32" s="304">
        <f t="shared" ca="1" si="7"/>
        <v>0.28000000000000008</v>
      </c>
      <c r="D32" s="306">
        <f t="shared" ca="1" si="8"/>
        <v>17.264447108686156</v>
      </c>
      <c r="E32" s="307">
        <f t="shared" ca="1" si="9"/>
        <v>64.436292560020874</v>
      </c>
      <c r="F32" s="304">
        <f t="shared" ca="1" si="10"/>
        <v>66.709046859097185</v>
      </c>
      <c r="G32" s="306">
        <f t="shared" ca="1" si="11"/>
        <v>4.1639097422856546</v>
      </c>
      <c r="H32" s="307">
        <f t="shared" ca="1" si="12"/>
        <v>15.541023183604327</v>
      </c>
      <c r="I32" s="304">
        <f t="shared" ca="1" si="13"/>
        <v>16.089174805913093</v>
      </c>
      <c r="J32" s="306">
        <f t="shared" ca="1" si="14"/>
        <v>0.51305777603396496</v>
      </c>
      <c r="K32" s="307">
        <f t="shared" ca="1" si="15"/>
        <v>1.9148950383413548</v>
      </c>
      <c r="L32" s="304">
        <f t="shared" ca="1" si="0"/>
        <v>1.9824356961609768</v>
      </c>
      <c r="M32" s="306">
        <f t="shared" ca="1" si="16"/>
        <v>1.3089969389957472</v>
      </c>
      <c r="N32" s="304">
        <f t="shared" ca="1" si="17"/>
        <v>75</v>
      </c>
      <c r="P32" s="310">
        <f t="shared" ca="1" si="18"/>
        <v>4</v>
      </c>
      <c r="Q32" s="304">
        <f t="shared" ca="1" si="19"/>
        <v>1785.0279024390245</v>
      </c>
      <c r="R32" s="306">
        <f t="shared" ca="1" si="20"/>
        <v>1.0734696138911888</v>
      </c>
      <c r="S32" s="307">
        <f t="shared" ca="1" si="21"/>
        <v>23.407953472504147</v>
      </c>
      <c r="T32" s="304">
        <f t="shared" ca="1" si="1"/>
        <v>229.63202356526568</v>
      </c>
      <c r="U32" s="311">
        <f t="shared" ca="1" si="2"/>
        <v>59.433141064121607</v>
      </c>
      <c r="V32" s="306">
        <f t="shared" ca="1" si="3"/>
        <v>1.2247654478149439</v>
      </c>
      <c r="W32" s="304">
        <f t="shared" ca="1" si="4"/>
        <v>1.8481921632509177</v>
      </c>
      <c r="Y32" s="314" t="str">
        <f t="shared" ca="1" si="22"/>
        <v/>
      </c>
      <c r="Z32" s="315" t="str">
        <f t="shared" ca="1" si="23"/>
        <v/>
      </c>
      <c r="AA32" s="316" t="str">
        <f t="shared" ca="1" si="24"/>
        <v/>
      </c>
      <c r="AC32" s="310" t="e">
        <f t="shared" ca="1" si="25"/>
        <v>#N/A</v>
      </c>
      <c r="AD32" s="323" t="e">
        <f t="shared" ca="1" si="26"/>
        <v>#N/A</v>
      </c>
      <c r="AE32" s="324">
        <f t="shared" ca="1" si="5"/>
        <v>1.9148950383413548</v>
      </c>
      <c r="AG32" s="306">
        <f t="shared" ca="1" si="27"/>
        <v>66.709046848935429</v>
      </c>
      <c r="AH32" s="304">
        <f t="shared" ca="1" si="28"/>
        <v>76.184779204831187</v>
      </c>
    </row>
    <row r="33" spans="1:34" x14ac:dyDescent="0.2">
      <c r="A33" s="347">
        <f t="shared" ca="1" si="6"/>
        <v>0.01</v>
      </c>
      <c r="B33" s="304">
        <f t="shared" ca="1" si="7"/>
        <v>0.29000000000000009</v>
      </c>
      <c r="D33" s="306">
        <f t="shared" ca="1" si="8"/>
        <v>17.277312584315673</v>
      </c>
      <c r="E33" s="307">
        <f t="shared" ca="1" si="9"/>
        <v>64.484310481782487</v>
      </c>
      <c r="F33" s="304">
        <f t="shared" ca="1" si="10"/>
        <v>66.758758439976063</v>
      </c>
      <c r="G33" s="306">
        <f t="shared" ca="1" si="11"/>
        <v>4.3366828681288112</v>
      </c>
      <c r="H33" s="307">
        <f t="shared" ca="1" si="12"/>
        <v>16.185866288422151</v>
      </c>
      <c r="I33" s="304">
        <f t="shared" ca="1" si="13"/>
        <v>16.756762390312829</v>
      </c>
      <c r="J33" s="306">
        <f t="shared" ca="1" si="14"/>
        <v>0.55556073908603731</v>
      </c>
      <c r="K33" s="307">
        <f t="shared" ca="1" si="15"/>
        <v>2.0735294857014872</v>
      </c>
      <c r="L33" s="304">
        <f t="shared" ca="1" si="0"/>
        <v>2.146665382142102</v>
      </c>
      <c r="M33" s="306">
        <f t="shared" ca="1" si="16"/>
        <v>1.3089969389957472</v>
      </c>
      <c r="N33" s="304">
        <f t="shared" ca="1" si="17"/>
        <v>75</v>
      </c>
      <c r="P33" s="310">
        <f t="shared" ca="1" si="18"/>
        <v>4</v>
      </c>
      <c r="Q33" s="304">
        <f t="shared" ca="1" si="19"/>
        <v>1785.523024390244</v>
      </c>
      <c r="R33" s="306">
        <f t="shared" ca="1" si="20"/>
        <v>1.0737673674271859</v>
      </c>
      <c r="S33" s="307">
        <f t="shared" ca="1" si="21"/>
        <v>23.397215798829876</v>
      </c>
      <c r="T33" s="304">
        <f t="shared" ca="1" si="1"/>
        <v>229.5266869865211</v>
      </c>
      <c r="U33" s="311">
        <f t="shared" ca="1" si="2"/>
        <v>59.405877951396562</v>
      </c>
      <c r="V33" s="306">
        <f t="shared" ca="1" si="3"/>
        <v>1.2247460189698596</v>
      </c>
      <c r="W33" s="304">
        <f t="shared" ca="1" si="4"/>
        <v>2.0047162807937644</v>
      </c>
      <c r="Y33" s="314" t="str">
        <f t="shared" ca="1" si="22"/>
        <v/>
      </c>
      <c r="Z33" s="315" t="str">
        <f t="shared" ca="1" si="23"/>
        <v/>
      </c>
      <c r="AA33" s="316" t="str">
        <f t="shared" ca="1" si="24"/>
        <v/>
      </c>
      <c r="AC33" s="310" t="e">
        <f t="shared" ca="1" si="25"/>
        <v>#N/A</v>
      </c>
      <c r="AD33" s="323" t="e">
        <f t="shared" ca="1" si="26"/>
        <v>#N/A</v>
      </c>
      <c r="AE33" s="324">
        <f t="shared" ca="1" si="5"/>
        <v>2.0735294857014872</v>
      </c>
      <c r="AG33" s="306">
        <f t="shared" ca="1" si="27"/>
        <v>66.758758429806917</v>
      </c>
      <c r="AH33" s="304">
        <f t="shared" ca="1" si="28"/>
        <v>76.234490785702675</v>
      </c>
    </row>
    <row r="34" spans="1:34" x14ac:dyDescent="0.2">
      <c r="A34" s="347">
        <f t="shared" ca="1" si="6"/>
        <v>0.01</v>
      </c>
      <c r="B34" s="304">
        <f t="shared" ca="1" si="7"/>
        <v>0.3000000000000001</v>
      </c>
      <c r="D34" s="306">
        <f t="shared" ca="1" si="8"/>
        <v>17.290120812109269</v>
      </c>
      <c r="E34" s="307">
        <f t="shared" ca="1" si="9"/>
        <v>64.532114755327754</v>
      </c>
      <c r="F34" s="304">
        <f t="shared" ca="1" si="10"/>
        <v>66.808248835694855</v>
      </c>
      <c r="G34" s="306">
        <f t="shared" ca="1" si="11"/>
        <v>4.5095840762499035</v>
      </c>
      <c r="H34" s="307">
        <f t="shared" ca="1" si="12"/>
        <v>16.83118743597543</v>
      </c>
      <c r="I34" s="304">
        <f t="shared" ca="1" si="13"/>
        <v>17.424844878669763</v>
      </c>
      <c r="J34" s="306">
        <f t="shared" ca="1" si="14"/>
        <v>0.59979207380793087</v>
      </c>
      <c r="K34" s="307">
        <f t="shared" ca="1" si="15"/>
        <v>2.2386147543234749</v>
      </c>
      <c r="L34" s="304">
        <f t="shared" ca="1" si="0"/>
        <v>2.3175734184870111</v>
      </c>
      <c r="M34" s="306">
        <f t="shared" ca="1" si="16"/>
        <v>1.3089969389957472</v>
      </c>
      <c r="N34" s="304">
        <f t="shared" ca="1" si="17"/>
        <v>75</v>
      </c>
      <c r="P34" s="310">
        <f t="shared" ca="1" si="18"/>
        <v>4</v>
      </c>
      <c r="Q34" s="304">
        <f t="shared" ca="1" si="19"/>
        <v>1786.0181463414635</v>
      </c>
      <c r="R34" s="306">
        <f t="shared" ca="1" si="20"/>
        <v>1.0740651209631829</v>
      </c>
      <c r="S34" s="307">
        <f t="shared" ca="1" si="21"/>
        <v>23.386475147620246</v>
      </c>
      <c r="T34" s="304">
        <f t="shared" ca="1" si="1"/>
        <v>229.42132119815463</v>
      </c>
      <c r="U34" s="311">
        <f t="shared" ca="1" si="2"/>
        <v>59.378607278665079</v>
      </c>
      <c r="V34" s="306">
        <f t="shared" ca="1" si="3"/>
        <v>1.2247258003839609</v>
      </c>
      <c r="W34" s="304">
        <f t="shared" ca="1" si="4"/>
        <v>2.1677209061290745</v>
      </c>
      <c r="Y34" s="314" t="str">
        <f t="shared" ca="1" si="22"/>
        <v/>
      </c>
      <c r="Z34" s="315" t="str">
        <f t="shared" ca="1" si="23"/>
        <v/>
      </c>
      <c r="AA34" s="316" t="str">
        <f t="shared" ca="1" si="24"/>
        <v/>
      </c>
      <c r="AC34" s="310" t="e">
        <f t="shared" ca="1" si="25"/>
        <v>#N/A</v>
      </c>
      <c r="AD34" s="323" t="e">
        <f t="shared" ca="1" si="26"/>
        <v>#N/A</v>
      </c>
      <c r="AE34" s="324">
        <f t="shared" ca="1" si="5"/>
        <v>2.2386147543234749</v>
      </c>
      <c r="AG34" s="306">
        <f t="shared" ca="1" si="27"/>
        <v>66.808248825518277</v>
      </c>
      <c r="AH34" s="304">
        <f t="shared" ca="1" si="28"/>
        <v>76.283981181414035</v>
      </c>
    </row>
    <row r="35" spans="1:34" x14ac:dyDescent="0.2">
      <c r="A35" s="347">
        <f t="shared" ca="1" si="6"/>
        <v>0.01</v>
      </c>
      <c r="B35" s="304">
        <f t="shared" ca="1" si="7"/>
        <v>0.31000000000000011</v>
      </c>
      <c r="D35" s="306">
        <f t="shared" ca="1" si="8"/>
        <v>17.302871573511524</v>
      </c>
      <c r="E35" s="307">
        <f t="shared" ca="1" si="9"/>
        <v>64.579704565002999</v>
      </c>
      <c r="F35" s="304">
        <f t="shared" ca="1" si="10"/>
        <v>66.857517201826312</v>
      </c>
      <c r="G35" s="306">
        <f t="shared" ca="1" si="11"/>
        <v>4.6826127919850187</v>
      </c>
      <c r="H35" s="307">
        <f t="shared" ca="1" si="12"/>
        <v>17.476984481625461</v>
      </c>
      <c r="I35" s="304">
        <f t="shared" ca="1" si="13"/>
        <v>18.09342005068801</v>
      </c>
      <c r="J35" s="306">
        <f t="shared" ca="1" si="14"/>
        <v>0.64575305814910544</v>
      </c>
      <c r="K35" s="307">
        <f t="shared" ca="1" si="15"/>
        <v>2.4101556139114795</v>
      </c>
      <c r="L35" s="304">
        <f t="shared" ca="1" si="0"/>
        <v>2.4951647431337962</v>
      </c>
      <c r="M35" s="306">
        <f t="shared" ca="1" si="16"/>
        <v>1.3089969389957472</v>
      </c>
      <c r="N35" s="304">
        <f t="shared" ca="1" si="17"/>
        <v>75</v>
      </c>
      <c r="P35" s="310">
        <f t="shared" ca="1" si="18"/>
        <v>4</v>
      </c>
      <c r="Q35" s="304">
        <f t="shared" ca="1" si="19"/>
        <v>1786.5132682926831</v>
      </c>
      <c r="R35" s="306">
        <f t="shared" ca="1" si="20"/>
        <v>1.07436287449918</v>
      </c>
      <c r="S35" s="307">
        <f t="shared" ca="1" si="21"/>
        <v>23.375731518875252</v>
      </c>
      <c r="T35" s="304">
        <f t="shared" ca="1" si="1"/>
        <v>229.31592620016625</v>
      </c>
      <c r="U35" s="311">
        <f t="shared" ca="1" si="2"/>
        <v>59.351329045927145</v>
      </c>
      <c r="V35" s="306">
        <f t="shared" ca="1" si="3"/>
        <v>1.2247047915122158</v>
      </c>
      <c r="W35" s="304">
        <f t="shared" ca="1" si="4"/>
        <v>2.3372189911049435</v>
      </c>
      <c r="Y35" s="314" t="str">
        <f t="shared" ca="1" si="22"/>
        <v/>
      </c>
      <c r="Z35" s="315" t="str">
        <f t="shared" ca="1" si="23"/>
        <v/>
      </c>
      <c r="AA35" s="316" t="str">
        <f t="shared" ca="1" si="24"/>
        <v/>
      </c>
      <c r="AC35" s="310" t="e">
        <f t="shared" ca="1" si="25"/>
        <v>#N/A</v>
      </c>
      <c r="AD35" s="323" t="e">
        <f t="shared" ca="1" si="26"/>
        <v>#N/A</v>
      </c>
      <c r="AE35" s="324">
        <f t="shared" ca="1" si="5"/>
        <v>2.4101556139114795</v>
      </c>
      <c r="AG35" s="306">
        <f t="shared" ca="1" si="27"/>
        <v>66.857517191642245</v>
      </c>
      <c r="AH35" s="304">
        <f t="shared" ca="1" si="28"/>
        <v>76.333249547538003</v>
      </c>
    </row>
    <row r="36" spans="1:34" x14ac:dyDescent="0.2">
      <c r="A36" s="347">
        <f t="shared" ca="1" si="6"/>
        <v>0.01</v>
      </c>
      <c r="B36" s="304">
        <f t="shared" ca="1" si="7"/>
        <v>0.32000000000000012</v>
      </c>
      <c r="D36" s="306">
        <f t="shared" ca="1" si="8"/>
        <v>17.315564650654537</v>
      </c>
      <c r="E36" s="307">
        <f t="shared" ca="1" si="9"/>
        <v>64.627079097720411</v>
      </c>
      <c r="F36" s="304">
        <f t="shared" ca="1" si="10"/>
        <v>66.906562696599565</v>
      </c>
      <c r="G36" s="306">
        <f t="shared" ca="1" si="11"/>
        <v>4.8557684384915643</v>
      </c>
      <c r="H36" s="307">
        <f t="shared" ca="1" si="12"/>
        <v>18.123255272602666</v>
      </c>
      <c r="I36" s="304">
        <f t="shared" ca="1" si="13"/>
        <v>18.762485677653991</v>
      </c>
      <c r="J36" s="306">
        <f t="shared" ca="1" si="14"/>
        <v>0.69344496430148839</v>
      </c>
      <c r="K36" s="307">
        <f t="shared" ca="1" si="15"/>
        <v>2.58815681268262</v>
      </c>
      <c r="L36" s="304">
        <f t="shared" ca="1" si="0"/>
        <v>2.6794442717755023</v>
      </c>
      <c r="M36" s="306">
        <f t="shared" ca="1" si="16"/>
        <v>1.3089969389957472</v>
      </c>
      <c r="N36" s="304">
        <f t="shared" ca="1" si="17"/>
        <v>75</v>
      </c>
      <c r="P36" s="310">
        <f t="shared" ca="1" si="18"/>
        <v>4</v>
      </c>
      <c r="Q36" s="304">
        <f t="shared" ca="1" si="19"/>
        <v>1787.0083902439026</v>
      </c>
      <c r="R36" s="306">
        <f t="shared" ca="1" si="20"/>
        <v>1.0746606280351771</v>
      </c>
      <c r="S36" s="307">
        <f t="shared" ca="1" si="21"/>
        <v>23.364984912594899</v>
      </c>
      <c r="T36" s="304">
        <f t="shared" ca="1" si="1"/>
        <v>229.21050199255598</v>
      </c>
      <c r="U36" s="311">
        <f t="shared" ca="1" si="2"/>
        <v>59.324043253182765</v>
      </c>
      <c r="V36" s="306">
        <f t="shared" ca="1" si="3"/>
        <v>1.2246829918137914</v>
      </c>
      <c r="W36" s="304">
        <f t="shared" ca="1" si="4"/>
        <v>2.5132233845919689</v>
      </c>
      <c r="Y36" s="314" t="str">
        <f t="shared" ca="1" si="22"/>
        <v/>
      </c>
      <c r="Z36" s="315" t="str">
        <f t="shared" ca="1" si="23"/>
        <v/>
      </c>
      <c r="AA36" s="316" t="str">
        <f t="shared" ca="1" si="24"/>
        <v/>
      </c>
      <c r="AC36" s="310" t="e">
        <f t="shared" ca="1" si="25"/>
        <v>#N/A</v>
      </c>
      <c r="AD36" s="323" t="e">
        <f t="shared" ca="1" si="26"/>
        <v>#N/A</v>
      </c>
      <c r="AE36" s="324">
        <f t="shared" ca="1" si="5"/>
        <v>2.58815681268262</v>
      </c>
      <c r="AG36" s="306">
        <f t="shared" ca="1" si="27"/>
        <v>66.906562686407923</v>
      </c>
      <c r="AH36" s="304">
        <f t="shared" ca="1" si="28"/>
        <v>76.382295042303681</v>
      </c>
    </row>
    <row r="37" spans="1:34" x14ac:dyDescent="0.2">
      <c r="A37" s="347">
        <f t="shared" ca="1" si="6"/>
        <v>0.01</v>
      </c>
      <c r="B37" s="304">
        <f t="shared" ca="1" si="7"/>
        <v>0.33000000000000013</v>
      </c>
      <c r="D37" s="306">
        <f t="shared" ca="1" si="8"/>
        <v>17.328199826366554</v>
      </c>
      <c r="E37" s="307">
        <f t="shared" ca="1" si="9"/>
        <v>64.674237542990227</v>
      </c>
      <c r="F37" s="304">
        <f t="shared" ca="1" si="10"/>
        <v>66.95538448093339</v>
      </c>
      <c r="G37" s="306">
        <f t="shared" ca="1" si="11"/>
        <v>5.02905043675523</v>
      </c>
      <c r="H37" s="307">
        <f t="shared" ca="1" si="12"/>
        <v>18.769997648032568</v>
      </c>
      <c r="I37" s="304">
        <f t="shared" ca="1" si="13"/>
        <v>19.43203952246331</v>
      </c>
      <c r="J37" s="306">
        <f t="shared" ca="1" si="14"/>
        <v>0.74286905867772235</v>
      </c>
      <c r="K37" s="307">
        <f t="shared" ca="1" si="15"/>
        <v>2.7726230772857963</v>
      </c>
      <c r="L37" s="304">
        <f t="shared" ca="1" si="0"/>
        <v>2.8704168977760851</v>
      </c>
      <c r="M37" s="306">
        <f t="shared" ca="1" si="16"/>
        <v>1.3089969389957472</v>
      </c>
      <c r="N37" s="304">
        <f t="shared" ca="1" si="17"/>
        <v>75</v>
      </c>
      <c r="P37" s="310">
        <f t="shared" ca="1" si="18"/>
        <v>4</v>
      </c>
      <c r="Q37" s="304">
        <f t="shared" ca="1" si="19"/>
        <v>1787.5035121951221</v>
      </c>
      <c r="R37" s="306">
        <f t="shared" ca="1" si="20"/>
        <v>1.0749583815711741</v>
      </c>
      <c r="S37" s="307">
        <f t="shared" ca="1" si="21"/>
        <v>23.354235328779186</v>
      </c>
      <c r="T37" s="304">
        <f t="shared" ca="1" si="1"/>
        <v>229.10504857532382</v>
      </c>
      <c r="U37" s="311">
        <f t="shared" ca="1" si="2"/>
        <v>59.296749900431941</v>
      </c>
      <c r="V37" s="306">
        <f t="shared" ca="1" si="3"/>
        <v>1.2246604007520681</v>
      </c>
      <c r="W37" s="304">
        <f t="shared" ca="1" si="4"/>
        <v>2.6957468318260518</v>
      </c>
      <c r="Y37" s="314" t="str">
        <f t="shared" ca="1" si="22"/>
        <v/>
      </c>
      <c r="Z37" s="315" t="str">
        <f t="shared" ca="1" si="23"/>
        <v/>
      </c>
      <c r="AA37" s="316" t="str">
        <f t="shared" ca="1" si="24"/>
        <v/>
      </c>
      <c r="AC37" s="310" t="e">
        <f t="shared" ca="1" si="25"/>
        <v>#N/A</v>
      </c>
      <c r="AD37" s="323" t="e">
        <f t="shared" ca="1" si="26"/>
        <v>#N/A</v>
      </c>
      <c r="AE37" s="324">
        <f t="shared" ca="1" si="5"/>
        <v>2.7726230772857963</v>
      </c>
      <c r="AG37" s="306">
        <f t="shared" ca="1" si="27"/>
        <v>66.955384470734174</v>
      </c>
      <c r="AH37" s="304">
        <f t="shared" ca="1" si="28"/>
        <v>76.431116826629932</v>
      </c>
    </row>
    <row r="38" spans="1:34" x14ac:dyDescent="0.2">
      <c r="A38" s="347">
        <f t="shared" ca="1" si="6"/>
        <v>0.01</v>
      </c>
      <c r="B38" s="304">
        <f t="shared" ca="1" si="7"/>
        <v>0.34000000000000014</v>
      </c>
      <c r="D38" s="306">
        <f t="shared" ca="1" si="8"/>
        <v>17.340776884180578</v>
      </c>
      <c r="E38" s="307">
        <f t="shared" ca="1" si="9"/>
        <v>64.721179092952937</v>
      </c>
      <c r="F38" s="304">
        <f t="shared" ca="1" si="10"/>
        <v>67.003981718469689</v>
      </c>
      <c r="G38" s="306">
        <f t="shared" ca="1" si="11"/>
        <v>5.2024582055970354</v>
      </c>
      <c r="H38" s="307">
        <f t="shared" ca="1" si="12"/>
        <v>19.417209438962097</v>
      </c>
      <c r="I38" s="304">
        <f t="shared" ca="1" si="13"/>
        <v>20.102079339647993</v>
      </c>
      <c r="J38" s="306">
        <f t="shared" ca="1" si="14"/>
        <v>0.79402660188948371</v>
      </c>
      <c r="K38" s="307">
        <f t="shared" ca="1" si="15"/>
        <v>2.9635591127207697</v>
      </c>
      <c r="L38" s="304">
        <f t="shared" ca="1" si="0"/>
        <v>3.0680874920866383</v>
      </c>
      <c r="M38" s="306">
        <f t="shared" ca="1" si="16"/>
        <v>1.3089969389957472</v>
      </c>
      <c r="N38" s="304">
        <f t="shared" ca="1" si="17"/>
        <v>75</v>
      </c>
      <c r="P38" s="310">
        <f t="shared" ca="1" si="18"/>
        <v>4</v>
      </c>
      <c r="Q38" s="304">
        <f t="shared" ca="1" si="19"/>
        <v>1787.9986341463416</v>
      </c>
      <c r="R38" s="306">
        <f t="shared" ca="1" si="20"/>
        <v>1.0752561351071712</v>
      </c>
      <c r="S38" s="307">
        <f t="shared" ca="1" si="21"/>
        <v>23.343482767428114</v>
      </c>
      <c r="T38" s="304">
        <f t="shared" ca="1" si="1"/>
        <v>228.99956594846981</v>
      </c>
      <c r="U38" s="311">
        <f t="shared" ca="1" si="2"/>
        <v>59.269448987674679</v>
      </c>
      <c r="V38" s="306">
        <f t="shared" ca="1" si="3"/>
        <v>1.2246370177946526</v>
      </c>
      <c r="W38" s="304">
        <f t="shared" ca="1" si="4"/>
        <v>2.884801973753703</v>
      </c>
      <c r="Y38" s="314" t="str">
        <f t="shared" ca="1" si="22"/>
        <v/>
      </c>
      <c r="Z38" s="315" t="str">
        <f t="shared" ca="1" si="23"/>
        <v/>
      </c>
      <c r="AA38" s="316" t="str">
        <f t="shared" ca="1" si="24"/>
        <v/>
      </c>
      <c r="AC38" s="310" t="e">
        <f t="shared" ca="1" si="25"/>
        <v>#N/A</v>
      </c>
      <c r="AD38" s="323" t="e">
        <f t="shared" ca="1" si="26"/>
        <v>#N/A</v>
      </c>
      <c r="AE38" s="324">
        <f t="shared" ca="1" si="5"/>
        <v>2.9635591127207697</v>
      </c>
      <c r="AG38" s="306">
        <f t="shared" ca="1" si="27"/>
        <v>67.003981708262828</v>
      </c>
      <c r="AH38" s="304">
        <f t="shared" ca="1" si="28"/>
        <v>76.479714064158586</v>
      </c>
    </row>
    <row r="39" spans="1:34" x14ac:dyDescent="0.2">
      <c r="A39" s="347">
        <f t="shared" ca="1" si="6"/>
        <v>0.01</v>
      </c>
      <c r="B39" s="304">
        <f t="shared" ca="1" si="7"/>
        <v>0.35000000000000014</v>
      </c>
      <c r="D39" s="306">
        <f t="shared" ca="1" si="8"/>
        <v>17.353295608342982</v>
      </c>
      <c r="E39" s="307">
        <f t="shared" ca="1" si="9"/>
        <v>64.767902942411354</v>
      </c>
      <c r="F39" s="304">
        <f t="shared" ca="1" si="10"/>
        <v>67.052353575606531</v>
      </c>
      <c r="G39" s="306">
        <f t="shared" ca="1" si="11"/>
        <v>5.3759911616804654</v>
      </c>
      <c r="H39" s="307">
        <f t="shared" ca="1" si="12"/>
        <v>20.064888468386211</v>
      </c>
      <c r="I39" s="304">
        <f t="shared" ca="1" si="13"/>
        <v>20.772602875404047</v>
      </c>
      <c r="J39" s="306">
        <f t="shared" ca="1" si="14"/>
        <v>0.8469188487258712</v>
      </c>
      <c r="K39" s="307">
        <f t="shared" ca="1" si="15"/>
        <v>3.1609696022575111</v>
      </c>
      <c r="L39" s="304">
        <f t="shared" ca="1" si="0"/>
        <v>3.2724609031618948</v>
      </c>
      <c r="M39" s="306">
        <f t="shared" ca="1" si="16"/>
        <v>1.3089969389957472</v>
      </c>
      <c r="N39" s="304">
        <f t="shared" ca="1" si="17"/>
        <v>75</v>
      </c>
      <c r="P39" s="310">
        <f t="shared" ca="1" si="18"/>
        <v>4</v>
      </c>
      <c r="Q39" s="304">
        <f t="shared" ca="1" si="19"/>
        <v>1788.4937560975611</v>
      </c>
      <c r="R39" s="306">
        <f t="shared" ca="1" si="20"/>
        <v>1.0755538886431684</v>
      </c>
      <c r="S39" s="307">
        <f t="shared" ca="1" si="21"/>
        <v>23.332727228541682</v>
      </c>
      <c r="T39" s="304">
        <f t="shared" ca="1" si="1"/>
        <v>228.89405411199391</v>
      </c>
      <c r="U39" s="311">
        <f t="shared" ca="1" si="2"/>
        <v>59.242140514910972</v>
      </c>
      <c r="V39" s="306">
        <f t="shared" ca="1" si="3"/>
        <v>1.2246128424133917</v>
      </c>
      <c r="W39" s="304">
        <f t="shared" ca="1" si="4"/>
        <v>3.0804013463798956</v>
      </c>
      <c r="Y39" s="314" t="str">
        <f t="shared" ca="1" si="22"/>
        <v/>
      </c>
      <c r="Z39" s="315" t="str">
        <f t="shared" ca="1" si="23"/>
        <v/>
      </c>
      <c r="AA39" s="316" t="str">
        <f t="shared" ca="1" si="24"/>
        <v/>
      </c>
      <c r="AC39" s="310" t="e">
        <f t="shared" ca="1" si="25"/>
        <v>#N/A</v>
      </c>
      <c r="AD39" s="323" t="e">
        <f t="shared" ca="1" si="26"/>
        <v>#N/A</v>
      </c>
      <c r="AE39" s="324">
        <f t="shared" ca="1" si="5"/>
        <v>3.1609696022575111</v>
      </c>
      <c r="AG39" s="306">
        <f t="shared" ca="1" si="27"/>
        <v>67.052353565391968</v>
      </c>
      <c r="AH39" s="304">
        <f t="shared" ca="1" si="28"/>
        <v>76.528085921287726</v>
      </c>
    </row>
    <row r="40" spans="1:34" x14ac:dyDescent="0.2">
      <c r="A40" s="347">
        <f t="shared" ca="1" si="6"/>
        <v>0.01</v>
      </c>
      <c r="B40" s="304">
        <f t="shared" ca="1" si="7"/>
        <v>0.36000000000000015</v>
      </c>
      <c r="D40" s="306">
        <f t="shared" ca="1" si="8"/>
        <v>17.365755783822113</v>
      </c>
      <c r="E40" s="307">
        <f t="shared" ca="1" si="9"/>
        <v>64.814408288862722</v>
      </c>
      <c r="F40" s="304">
        <f t="shared" ca="1" si="10"/>
        <v>67.100499221531493</v>
      </c>
      <c r="G40" s="306">
        <f t="shared" ca="1" si="11"/>
        <v>5.5496487195186868</v>
      </c>
      <c r="H40" s="307">
        <f t="shared" ca="1" si="12"/>
        <v>20.713032551274839</v>
      </c>
      <c r="I40" s="304">
        <f t="shared" ca="1" si="13"/>
        <v>21.443607867619349</v>
      </c>
      <c r="J40" s="306">
        <f t="shared" ca="1" si="14"/>
        <v>0.90154704813186692</v>
      </c>
      <c r="K40" s="307">
        <f t="shared" ca="1" si="15"/>
        <v>3.3648592073558166</v>
      </c>
      <c r="L40" s="304">
        <f t="shared" ca="1" si="0"/>
        <v>3.4835419568770085</v>
      </c>
      <c r="M40" s="306">
        <f t="shared" ca="1" si="16"/>
        <v>1.3089969389957472</v>
      </c>
      <c r="N40" s="304">
        <f t="shared" ca="1" si="17"/>
        <v>75</v>
      </c>
      <c r="P40" s="310">
        <f t="shared" ca="1" si="18"/>
        <v>4</v>
      </c>
      <c r="Q40" s="304">
        <f t="shared" ca="1" si="19"/>
        <v>1788.9888780487806</v>
      </c>
      <c r="R40" s="306">
        <f t="shared" ca="1" si="20"/>
        <v>1.0758516421791653</v>
      </c>
      <c r="S40" s="307">
        <f t="shared" ca="1" si="21"/>
        <v>23.32196871211989</v>
      </c>
      <c r="T40" s="304">
        <f t="shared" ca="1" si="1"/>
        <v>228.78851306589613</v>
      </c>
      <c r="U40" s="311">
        <f t="shared" ca="1" si="2"/>
        <v>59.214824482140827</v>
      </c>
      <c r="V40" s="306">
        <f t="shared" ca="1" si="3"/>
        <v>1.2245878740843832</v>
      </c>
      <c r="W40" s="304">
        <f t="shared" ca="1" si="4"/>
        <v>3.2825573801185062</v>
      </c>
      <c r="Y40" s="314" t="str">
        <f t="shared" ca="1" si="22"/>
        <v/>
      </c>
      <c r="Z40" s="315" t="str">
        <f t="shared" ca="1" si="23"/>
        <v/>
      </c>
      <c r="AA40" s="316" t="str">
        <f t="shared" ca="1" si="24"/>
        <v/>
      </c>
      <c r="AC40" s="310" t="e">
        <f t="shared" ca="1" si="25"/>
        <v>#N/A</v>
      </c>
      <c r="AD40" s="323" t="e">
        <f t="shared" ca="1" si="26"/>
        <v>#N/A</v>
      </c>
      <c r="AE40" s="324">
        <f t="shared" ca="1" si="5"/>
        <v>3.3648592073558166</v>
      </c>
      <c r="AG40" s="306">
        <f t="shared" ca="1" si="27"/>
        <v>67.10049921130917</v>
      </c>
      <c r="AH40" s="304">
        <f t="shared" ca="1" si="28"/>
        <v>76.576231567204928</v>
      </c>
    </row>
    <row r="41" spans="1:34" x14ac:dyDescent="0.2">
      <c r="A41" s="347">
        <f t="shared" ca="1" si="6"/>
        <v>0.01</v>
      </c>
      <c r="B41" s="304">
        <f t="shared" ca="1" si="7"/>
        <v>0.37000000000000016</v>
      </c>
      <c r="D41" s="306">
        <f t="shared" ca="1" si="8"/>
        <v>17.378157196316877</v>
      </c>
      <c r="E41" s="307">
        <f t="shared" ca="1" si="9"/>
        <v>64.860694332530812</v>
      </c>
      <c r="F41" s="304">
        <f t="shared" ca="1" si="10"/>
        <v>67.14841782825485</v>
      </c>
      <c r="G41" s="306">
        <f t="shared" ca="1" si="11"/>
        <v>5.7234302914818551</v>
      </c>
      <c r="H41" s="307">
        <f t="shared" ca="1" si="12"/>
        <v>21.361639494600148</v>
      </c>
      <c r="I41" s="304">
        <f t="shared" ca="1" si="13"/>
        <v>22.115092045901889</v>
      </c>
      <c r="J41" s="306">
        <f t="shared" ca="1" si="14"/>
        <v>0.95791244318686963</v>
      </c>
      <c r="K41" s="307">
        <f t="shared" ca="1" si="15"/>
        <v>3.5752325675851915</v>
      </c>
      <c r="L41" s="304">
        <f t="shared" ca="1" si="0"/>
        <v>3.7013354564446113</v>
      </c>
      <c r="M41" s="306">
        <f t="shared" ca="1" si="16"/>
        <v>1.3089969389957472</v>
      </c>
      <c r="N41" s="304">
        <f t="shared" ca="1" si="17"/>
        <v>75</v>
      </c>
      <c r="P41" s="310">
        <f t="shared" ca="1" si="18"/>
        <v>4</v>
      </c>
      <c r="Q41" s="304">
        <f t="shared" ca="1" si="19"/>
        <v>1789.4840000000002</v>
      </c>
      <c r="R41" s="306">
        <f t="shared" ca="1" si="20"/>
        <v>1.0761493957151624</v>
      </c>
      <c r="S41" s="307">
        <f t="shared" ca="1" si="21"/>
        <v>23.311207218162739</v>
      </c>
      <c r="T41" s="304">
        <f t="shared" ca="1" si="1"/>
        <v>228.68294281017648</v>
      </c>
      <c r="U41" s="311">
        <f t="shared" ca="1" si="2"/>
        <v>59.187500889364237</v>
      </c>
      <c r="V41" s="306">
        <f t="shared" ca="1" si="3"/>
        <v>1.2245621122879913</v>
      </c>
      <c r="W41" s="304">
        <f t="shared" ca="1" si="4"/>
        <v>3.4912823991454145</v>
      </c>
      <c r="Y41" s="314" t="str">
        <f t="shared" ca="1" si="22"/>
        <v/>
      </c>
      <c r="Z41" s="315" t="str">
        <f t="shared" ca="1" si="23"/>
        <v/>
      </c>
      <c r="AA41" s="316" t="str">
        <f t="shared" ca="1" si="24"/>
        <v/>
      </c>
      <c r="AC41" s="310" t="e">
        <f t="shared" ca="1" si="25"/>
        <v>#N/A</v>
      </c>
      <c r="AD41" s="323" t="e">
        <f t="shared" ca="1" si="26"/>
        <v>#N/A</v>
      </c>
      <c r="AE41" s="324">
        <f t="shared" ca="1" si="5"/>
        <v>3.5752325675851915</v>
      </c>
      <c r="AG41" s="306">
        <f t="shared" ca="1" si="27"/>
        <v>67.148417818024754</v>
      </c>
      <c r="AH41" s="304">
        <f t="shared" ca="1" si="28"/>
        <v>76.624150173920512</v>
      </c>
    </row>
    <row r="42" spans="1:34" x14ac:dyDescent="0.2">
      <c r="A42" s="347">
        <f t="shared" ca="1" si="6"/>
        <v>0.01</v>
      </c>
      <c r="B42" s="304">
        <f t="shared" ca="1" si="7"/>
        <v>0.38000000000000017</v>
      </c>
      <c r="D42" s="306">
        <f t="shared" ca="1" si="8"/>
        <v>17.390499632265378</v>
      </c>
      <c r="E42" s="307">
        <f t="shared" ca="1" si="9"/>
        <v>64.90676027639816</v>
      </c>
      <c r="F42" s="304">
        <f t="shared" ca="1" si="10"/>
        <v>67.196108570642991</v>
      </c>
      <c r="G42" s="306">
        <f t="shared" ca="1" si="11"/>
        <v>5.8973352878045091</v>
      </c>
      <c r="H42" s="307">
        <f t="shared" ca="1" si="12"/>
        <v>22.010707097364129</v>
      </c>
      <c r="I42" s="304">
        <f t="shared" ca="1" si="13"/>
        <v>22.787053131608307</v>
      </c>
      <c r="J42" s="306">
        <f t="shared" ca="1" si="14"/>
        <v>1.0160162710833014</v>
      </c>
      <c r="K42" s="307">
        <f t="shared" ca="1" si="15"/>
        <v>3.792094300545013</v>
      </c>
      <c r="L42" s="304">
        <f t="shared" ca="1" si="0"/>
        <v>3.9258461823321591</v>
      </c>
      <c r="M42" s="306">
        <f t="shared" ca="1" si="16"/>
        <v>1.3089969389957472</v>
      </c>
      <c r="N42" s="304">
        <f t="shared" ca="1" si="17"/>
        <v>75</v>
      </c>
      <c r="P42" s="310">
        <f t="shared" ca="1" si="18"/>
        <v>4</v>
      </c>
      <c r="Q42" s="304">
        <f t="shared" ca="1" si="19"/>
        <v>1789.9791219512197</v>
      </c>
      <c r="R42" s="306">
        <f t="shared" ca="1" si="20"/>
        <v>1.0764471492511596</v>
      </c>
      <c r="S42" s="307">
        <f t="shared" ca="1" si="21"/>
        <v>23.300442746670228</v>
      </c>
      <c r="T42" s="304">
        <f t="shared" ca="1" si="1"/>
        <v>228.57734334483496</v>
      </c>
      <c r="U42" s="311">
        <f t="shared" ca="1" si="2"/>
        <v>59.16016973658121</v>
      </c>
      <c r="V42" s="306">
        <f t="shared" ca="1" si="3"/>
        <v>1.2245355565088591</v>
      </c>
      <c r="W42" s="304">
        <f t="shared" ca="1" si="4"/>
        <v>3.7065886207542738</v>
      </c>
      <c r="Y42" s="314" t="str">
        <f t="shared" ca="1" si="22"/>
        <v>Sortie de rampe</v>
      </c>
      <c r="Z42" s="315" t="str">
        <f t="shared" ca="1" si="23"/>
        <v/>
      </c>
      <c r="AA42" s="316" t="str">
        <f t="shared" ca="1" si="24"/>
        <v/>
      </c>
      <c r="AC42" s="310" t="e">
        <f t="shared" ca="1" si="25"/>
        <v>#N/A</v>
      </c>
      <c r="AD42" s="323" t="e">
        <f t="shared" ca="1" si="26"/>
        <v>#N/A</v>
      </c>
      <c r="AE42" s="324">
        <f t="shared" ca="1" si="5"/>
        <v>3.792094300545013</v>
      </c>
      <c r="AG42" s="306">
        <f t="shared" ca="1" si="27"/>
        <v>67.196108560405037</v>
      </c>
      <c r="AH42" s="304">
        <f t="shared" ca="1" si="28"/>
        <v>76.671840916300795</v>
      </c>
    </row>
    <row r="43" spans="1:34" x14ac:dyDescent="0.2">
      <c r="A43" s="347">
        <f t="shared" ca="1" si="6"/>
        <v>0.01</v>
      </c>
      <c r="B43" s="304">
        <f t="shared" ca="1" si="7"/>
        <v>0.39000000000000018</v>
      </c>
      <c r="D43" s="306">
        <f t="shared" ca="1" si="8"/>
        <v>17.402782878853465</v>
      </c>
      <c r="E43" s="307">
        <f t="shared" ca="1" si="9"/>
        <v>64.952605326237901</v>
      </c>
      <c r="F43" s="304">
        <f t="shared" ca="1" si="10"/>
        <v>67.243570626451287</v>
      </c>
      <c r="G43" s="306">
        <f t="shared" ca="1" si="11"/>
        <v>6.0713631165930435</v>
      </c>
      <c r="H43" s="307">
        <f t="shared" ca="1" si="12"/>
        <v>22.660233150626507</v>
      </c>
      <c r="I43" s="304">
        <f t="shared" ca="1" si="13"/>
        <v>23.459488837872808</v>
      </c>
      <c r="J43" s="306">
        <f t="shared" ca="1" si="14"/>
        <v>1.0758597631052891</v>
      </c>
      <c r="K43" s="307">
        <f t="shared" ca="1" si="15"/>
        <v>4.0154490017849662</v>
      </c>
      <c r="L43" s="304">
        <f t="shared" ca="1" si="0"/>
        <v>4.1570788921795616</v>
      </c>
      <c r="M43" s="306">
        <f t="shared" ca="1" si="16"/>
        <v>1.3089969389957472</v>
      </c>
      <c r="N43" s="304">
        <f t="shared" ca="1" si="17"/>
        <v>75</v>
      </c>
      <c r="P43" s="310">
        <f t="shared" ca="1" si="18"/>
        <v>4</v>
      </c>
      <c r="Q43" s="304">
        <f t="shared" ca="1" si="19"/>
        <v>1790.4742439024392</v>
      </c>
      <c r="R43" s="306">
        <f t="shared" ca="1" si="20"/>
        <v>1.0767449027871567</v>
      </c>
      <c r="S43" s="307">
        <f t="shared" ca="1" si="21"/>
        <v>23.289675297642358</v>
      </c>
      <c r="T43" s="304">
        <f t="shared" ca="1" si="1"/>
        <v>228.47171466987155</v>
      </c>
      <c r="U43" s="311">
        <f t="shared" ca="1" si="2"/>
        <v>0</v>
      </c>
      <c r="V43" s="306">
        <f t="shared" ca="1" si="3"/>
        <v>1.2245082062359205</v>
      </c>
      <c r="W43" s="304">
        <f t="shared" ca="1" si="4"/>
        <v>3.9284881547150317</v>
      </c>
      <c r="Y43" s="314" t="str">
        <f t="shared" ca="1" si="22"/>
        <v/>
      </c>
      <c r="Z43" s="315" t="str">
        <f t="shared" ca="1" si="23"/>
        <v/>
      </c>
      <c r="AA43" s="316" t="str">
        <f t="shared" ca="1" si="24"/>
        <v/>
      </c>
      <c r="AC43" s="310" t="e">
        <f t="shared" ca="1" si="25"/>
        <v>#N/A</v>
      </c>
      <c r="AD43" s="323" t="e">
        <f t="shared" ca="1" si="26"/>
        <v>#N/A</v>
      </c>
      <c r="AE43" s="324">
        <f t="shared" ca="1" si="5"/>
        <v>4.0154490017849662</v>
      </c>
      <c r="AG43" s="306">
        <f t="shared" ca="1" si="27"/>
        <v>67.243570616205432</v>
      </c>
      <c r="AH43" s="304">
        <f t="shared" ca="1" si="28"/>
        <v>76.71930297210119</v>
      </c>
    </row>
    <row r="44" spans="1:34" x14ac:dyDescent="0.2">
      <c r="A44" s="347">
        <f t="shared" ca="1" si="6"/>
        <v>0.01</v>
      </c>
      <c r="B44" s="304">
        <f t="shared" ca="1" si="7"/>
        <v>0.40000000000000019</v>
      </c>
      <c r="D44" s="306">
        <f t="shared" ca="1" si="8"/>
        <v>19.868641419632656</v>
      </c>
      <c r="E44" s="307">
        <f t="shared" ca="1" si="9"/>
        <v>64.340779255436502</v>
      </c>
      <c r="F44" s="304">
        <f t="shared" ca="1" si="10"/>
        <v>67.338687149800819</v>
      </c>
      <c r="G44" s="306">
        <f t="shared" ca="1" si="11"/>
        <v>6.27004953078937</v>
      </c>
      <c r="H44" s="307">
        <f t="shared" ca="1" si="12"/>
        <v>23.30364094318087</v>
      </c>
      <c r="I44" s="304">
        <f t="shared" ca="1" si="13"/>
        <v>24.132409791134574</v>
      </c>
      <c r="J44" s="306">
        <f t="shared" ca="1" si="14"/>
        <v>1.1375668263422012</v>
      </c>
      <c r="K44" s="307">
        <f t="shared" ca="1" si="15"/>
        <v>4.245268372254003</v>
      </c>
      <c r="L44" s="304">
        <f t="shared" ca="1" si="0"/>
        <v>4.3950383202941952</v>
      </c>
      <c r="M44" s="306">
        <f t="shared" ca="1" si="16"/>
        <v>1.3079619540004506</v>
      </c>
      <c r="N44" s="304">
        <f t="shared" ca="1" si="17"/>
        <v>74.940699727910143</v>
      </c>
      <c r="P44" s="310">
        <f t="shared" ca="1" si="18"/>
        <v>4</v>
      </c>
      <c r="Q44" s="304">
        <f t="shared" ca="1" si="19"/>
        <v>1790.9693658536587</v>
      </c>
      <c r="R44" s="306">
        <f t="shared" ca="1" si="20"/>
        <v>1.0770426563231537</v>
      </c>
      <c r="S44" s="307">
        <f t="shared" ca="1" si="21"/>
        <v>23.278904871079128</v>
      </c>
      <c r="T44" s="304">
        <f t="shared" ca="1" si="1"/>
        <v>228.36605678528625</v>
      </c>
      <c r="U44" s="311">
        <f t="shared" ca="1" si="2"/>
        <v>0</v>
      </c>
      <c r="V44" s="306">
        <f t="shared" ca="1" si="3"/>
        <v>1.224480064987582</v>
      </c>
      <c r="W44" s="304">
        <f t="shared" ca="1" si="4"/>
        <v>4.1569974679585675</v>
      </c>
      <c r="Y44" s="314" t="str">
        <f t="shared" ca="1" si="22"/>
        <v/>
      </c>
      <c r="Z44" s="315" t="str">
        <f t="shared" ca="1" si="23"/>
        <v/>
      </c>
      <c r="AA44" s="316" t="str">
        <f t="shared" ca="1" si="24"/>
        <v/>
      </c>
      <c r="AC44" s="310" t="e">
        <f t="shared" ca="1" si="25"/>
        <v>#N/A</v>
      </c>
      <c r="AD44" s="323" t="e">
        <f t="shared" ca="1" si="26"/>
        <v>#N/A</v>
      </c>
      <c r="AE44" s="324">
        <f t="shared" ca="1" si="5"/>
        <v>4.245268372254003</v>
      </c>
      <c r="AG44" s="306">
        <f t="shared" ca="1" si="27"/>
        <v>67.290803166103771</v>
      </c>
      <c r="AH44" s="304">
        <f t="shared" ca="1" si="28"/>
        <v>76.766535521999529</v>
      </c>
    </row>
    <row r="45" spans="1:34" x14ac:dyDescent="0.2">
      <c r="A45" s="347">
        <f t="shared" ca="1" si="6"/>
        <v>0.01</v>
      </c>
      <c r="B45" s="304">
        <f t="shared" ca="1" si="7"/>
        <v>0.4100000000000002</v>
      </c>
      <c r="D45" s="306">
        <f t="shared" ca="1" si="8"/>
        <v>19.957587712562312</v>
      </c>
      <c r="E45" s="307">
        <f t="shared" ca="1" si="9"/>
        <v>64.365563663695426</v>
      </c>
      <c r="F45" s="304">
        <f t="shared" ca="1" si="10"/>
        <v>67.388657005833309</v>
      </c>
      <c r="G45" s="306">
        <f t="shared" ca="1" si="11"/>
        <v>6.4696254079149931</v>
      </c>
      <c r="H45" s="307">
        <f t="shared" ca="1" si="12"/>
        <v>23.947296579817824</v>
      </c>
      <c r="I45" s="304">
        <f t="shared" ca="1" si="13"/>
        <v>24.8058272670051</v>
      </c>
      <c r="J45" s="306">
        <f t="shared" ca="1" si="14"/>
        <v>1.201265201035723</v>
      </c>
      <c r="K45" s="307">
        <f t="shared" ca="1" si="15"/>
        <v>4.4815230598689961</v>
      </c>
      <c r="L45" s="304">
        <f t="shared" ca="1" si="0"/>
        <v>4.6397291967696743</v>
      </c>
      <c r="M45" s="306">
        <f t="shared" ca="1" si="16"/>
        <v>1.3069344449669134</v>
      </c>
      <c r="N45" s="304">
        <f t="shared" ca="1" si="17"/>
        <v>74.881827796876891</v>
      </c>
      <c r="P45" s="310">
        <f t="shared" ca="1" si="18"/>
        <v>4</v>
      </c>
      <c r="Q45" s="304">
        <f t="shared" ca="1" si="19"/>
        <v>1791.4644878048782</v>
      </c>
      <c r="R45" s="306">
        <f t="shared" ca="1" si="20"/>
        <v>1.0773404098591508</v>
      </c>
      <c r="S45" s="307">
        <f t="shared" ca="1" si="21"/>
        <v>23.268131466980535</v>
      </c>
      <c r="T45" s="304">
        <f t="shared" ca="1" si="1"/>
        <v>228.26036969107906</v>
      </c>
      <c r="U45" s="311">
        <f t="shared" ca="1" si="2"/>
        <v>0</v>
      </c>
      <c r="V45" s="306">
        <f t="shared" ca="1" si="3"/>
        <v>1.2244511364124073</v>
      </c>
      <c r="W45" s="304">
        <f t="shared" ca="1" si="4"/>
        <v>4.3921336513873221</v>
      </c>
      <c r="Y45" s="314" t="str">
        <f t="shared" ca="1" si="22"/>
        <v/>
      </c>
      <c r="Z45" s="315" t="str">
        <f t="shared" ca="1" si="23"/>
        <v/>
      </c>
      <c r="AA45" s="316" t="str">
        <f t="shared" ca="1" si="24"/>
        <v/>
      </c>
      <c r="AC45" s="310" t="e">
        <f t="shared" ca="1" si="25"/>
        <v>#N/A</v>
      </c>
      <c r="AD45" s="323" t="e">
        <f t="shared" ca="1" si="26"/>
        <v>#N/A</v>
      </c>
      <c r="AE45" s="324">
        <f t="shared" ca="1" si="5"/>
        <v>4.4815230598689961</v>
      </c>
      <c r="AG45" s="306">
        <f t="shared" ca="1" si="27"/>
        <v>67.34043811878449</v>
      </c>
      <c r="AH45" s="304">
        <f t="shared" ca="1" si="28"/>
        <v>76.813537557721887</v>
      </c>
    </row>
    <row r="46" spans="1:34" x14ac:dyDescent="0.2">
      <c r="A46" s="347">
        <f t="shared" ca="1" si="6"/>
        <v>0.01</v>
      </c>
      <c r="B46" s="304">
        <f t="shared" ca="1" si="7"/>
        <v>0.42000000000000021</v>
      </c>
      <c r="D46" s="306">
        <f t="shared" ca="1" si="8"/>
        <v>20.045991468742105</v>
      </c>
      <c r="E46" s="307">
        <f t="shared" ca="1" si="9"/>
        <v>64.390169665336586</v>
      </c>
      <c r="F46" s="304">
        <f t="shared" ca="1" si="10"/>
        <v>67.438384644768249</v>
      </c>
      <c r="G46" s="306">
        <f t="shared" ca="1" si="11"/>
        <v>6.6700853226024144</v>
      </c>
      <c r="H46" s="307">
        <f t="shared" ca="1" si="12"/>
        <v>24.591198276471189</v>
      </c>
      <c r="I46" s="304">
        <f t="shared" ca="1" si="13"/>
        <v>25.479738438286915</v>
      </c>
      <c r="J46" s="306">
        <f t="shared" ca="1" si="14"/>
        <v>1.2669637546883101</v>
      </c>
      <c r="K46" s="307">
        <f t="shared" ca="1" si="15"/>
        <v>4.7242155341504413</v>
      </c>
      <c r="L46" s="304">
        <f t="shared" ca="1" si="0"/>
        <v>4.8911562609266781</v>
      </c>
      <c r="M46" s="306">
        <f t="shared" ca="1" si="16"/>
        <v>1.3059302927869996</v>
      </c>
      <c r="N46" s="304">
        <f t="shared" ca="1" si="17"/>
        <v>74.824294114978969</v>
      </c>
      <c r="P46" s="310">
        <f t="shared" ca="1" si="18"/>
        <v>4</v>
      </c>
      <c r="Q46" s="304">
        <f t="shared" ca="1" si="19"/>
        <v>1791.9596097560977</v>
      </c>
      <c r="R46" s="306">
        <f t="shared" ca="1" si="20"/>
        <v>1.077638163395148</v>
      </c>
      <c r="S46" s="307">
        <f t="shared" ca="1" si="21"/>
        <v>23.257355085346582</v>
      </c>
      <c r="T46" s="304">
        <f t="shared" ca="1" si="1"/>
        <v>228.15465338724997</v>
      </c>
      <c r="U46" s="311">
        <f t="shared" ca="1" si="2"/>
        <v>0</v>
      </c>
      <c r="V46" s="306">
        <f t="shared" ca="1" si="3"/>
        <v>1.2244214202638353</v>
      </c>
      <c r="W46" s="304">
        <f t="shared" ca="1" si="4"/>
        <v>4.6339090709592474</v>
      </c>
      <c r="Y46" s="314" t="str">
        <f t="shared" ca="1" si="22"/>
        <v/>
      </c>
      <c r="Z46" s="315" t="str">
        <f t="shared" ca="1" si="23"/>
        <v/>
      </c>
      <c r="AA46" s="316" t="str">
        <f t="shared" ca="1" si="24"/>
        <v/>
      </c>
      <c r="AC46" s="310" t="e">
        <f t="shared" ca="1" si="25"/>
        <v>#N/A</v>
      </c>
      <c r="AD46" s="323" t="e">
        <f t="shared" ca="1" si="26"/>
        <v>#N/A</v>
      </c>
      <c r="AE46" s="324">
        <f t="shared" ca="1" si="5"/>
        <v>4.7242155341504413</v>
      </c>
      <c r="AG46" s="306">
        <f t="shared" ca="1" si="27"/>
        <v>67.389832539757549</v>
      </c>
      <c r="AH46" s="304">
        <f t="shared" ca="1" si="28"/>
        <v>76.860308042120266</v>
      </c>
    </row>
    <row r="47" spans="1:34" x14ac:dyDescent="0.2">
      <c r="A47" s="347">
        <f t="shared" ca="1" si="6"/>
        <v>0.01</v>
      </c>
      <c r="B47" s="304">
        <f t="shared" ca="1" si="7"/>
        <v>0.43000000000000022</v>
      </c>
      <c r="D47" s="306">
        <f t="shared" ca="1" si="8"/>
        <v>20.132672353884789</v>
      </c>
      <c r="E47" s="307">
        <f t="shared" ca="1" si="9"/>
        <v>64.414918234846056</v>
      </c>
      <c r="F47" s="304">
        <f t="shared" ca="1" si="10"/>
        <v>67.487822511255899</v>
      </c>
      <c r="G47" s="306">
        <f t="shared" ca="1" si="11"/>
        <v>6.8714120461412627</v>
      </c>
      <c r="H47" s="307">
        <f t="shared" ca="1" si="12"/>
        <v>25.23534745881965</v>
      </c>
      <c r="I47" s="304">
        <f t="shared" ca="1" si="13"/>
        <v>26.154140491998788</v>
      </c>
      <c r="J47" s="306">
        <f t="shared" ca="1" si="14"/>
        <v>1.3346712415320285</v>
      </c>
      <c r="K47" s="307">
        <f t="shared" ca="1" si="15"/>
        <v>4.9733482628268959</v>
      </c>
      <c r="L47" s="304">
        <f t="shared" ca="1" si="0"/>
        <v>5.1493242533691692</v>
      </c>
      <c r="M47" s="306">
        <f t="shared" ca="1" si="16"/>
        <v>1.304948397786394</v>
      </c>
      <c r="N47" s="304">
        <f t="shared" ca="1" si="17"/>
        <v>74.768035675519272</v>
      </c>
      <c r="P47" s="310">
        <f t="shared" ca="1" si="18"/>
        <v>4</v>
      </c>
      <c r="Q47" s="304">
        <f t="shared" ca="1" si="19"/>
        <v>1792.4547317073173</v>
      </c>
      <c r="R47" s="306">
        <f t="shared" ca="1" si="20"/>
        <v>1.0779359169311449</v>
      </c>
      <c r="S47" s="307">
        <f t="shared" ca="1" si="21"/>
        <v>23.246575726177269</v>
      </c>
      <c r="T47" s="304">
        <f t="shared" ca="1" si="1"/>
        <v>228.04890787379904</v>
      </c>
      <c r="U47" s="311">
        <f t="shared" ca="1" si="2"/>
        <v>0</v>
      </c>
      <c r="V47" s="306">
        <f t="shared" ca="1" si="3"/>
        <v>1.2243909162970728</v>
      </c>
      <c r="W47" s="304">
        <f t="shared" ca="1" si="4"/>
        <v>4.8823359724905799</v>
      </c>
      <c r="Y47" s="314" t="str">
        <f t="shared" ca="1" si="22"/>
        <v/>
      </c>
      <c r="Z47" s="315" t="str">
        <f t="shared" ca="1" si="23"/>
        <v/>
      </c>
      <c r="AA47" s="316" t="str">
        <f t="shared" ca="1" si="24"/>
        <v/>
      </c>
      <c r="AC47" s="310" t="e">
        <f t="shared" ca="1" si="25"/>
        <v>#N/A</v>
      </c>
      <c r="AD47" s="323" t="e">
        <f t="shared" ca="1" si="26"/>
        <v>#N/A</v>
      </c>
      <c r="AE47" s="324">
        <f t="shared" ca="1" si="5"/>
        <v>4.9733482628268959</v>
      </c>
      <c r="AG47" s="306">
        <f t="shared" ca="1" si="27"/>
        <v>67.438944587679131</v>
      </c>
      <c r="AH47" s="304">
        <f t="shared" ca="1" si="28"/>
        <v>76.906846139199203</v>
      </c>
    </row>
    <row r="48" spans="1:34" x14ac:dyDescent="0.2">
      <c r="A48" s="347">
        <f t="shared" ca="1" si="6"/>
        <v>0.01</v>
      </c>
      <c r="B48" s="304">
        <f t="shared" ca="1" si="7"/>
        <v>0.44000000000000022</v>
      </c>
      <c r="D48" s="306">
        <f t="shared" ca="1" si="8"/>
        <v>20.217709277978837</v>
      </c>
      <c r="E48" s="307">
        <f t="shared" ca="1" si="9"/>
        <v>64.439792477182081</v>
      </c>
      <c r="F48" s="304">
        <f t="shared" ca="1" si="10"/>
        <v>67.536972266686377</v>
      </c>
      <c r="G48" s="306">
        <f t="shared" ca="1" si="11"/>
        <v>7.0735891389210508</v>
      </c>
      <c r="H48" s="307">
        <f t="shared" ca="1" si="12"/>
        <v>25.879745383591469</v>
      </c>
      <c r="I48" s="304">
        <f t="shared" ca="1" si="13"/>
        <v>26.829030627769349</v>
      </c>
      <c r="J48" s="306">
        <f t="shared" ca="1" si="14"/>
        <v>1.4043962474573402</v>
      </c>
      <c r="K48" s="307">
        <f t="shared" ca="1" si="15"/>
        <v>5.2289237270389517</v>
      </c>
      <c r="L48" s="304">
        <f t="shared" ca="1" si="0"/>
        <v>5.4142379115682733</v>
      </c>
      <c r="M48" s="306">
        <f t="shared" ca="1" si="16"/>
        <v>1.3039877379531317</v>
      </c>
      <c r="N48" s="304">
        <f t="shared" ca="1" si="17"/>
        <v>74.712993921525609</v>
      </c>
      <c r="P48" s="310">
        <f t="shared" ca="1" si="18"/>
        <v>4</v>
      </c>
      <c r="Q48" s="304">
        <f t="shared" ca="1" si="19"/>
        <v>1792.9498536585368</v>
      </c>
      <c r="R48" s="306">
        <f t="shared" ca="1" si="20"/>
        <v>1.078233670467142</v>
      </c>
      <c r="S48" s="307">
        <f t="shared" ca="1" si="21"/>
        <v>23.235793389472597</v>
      </c>
      <c r="T48" s="304">
        <f t="shared" ca="1" si="1"/>
        <v>227.9431331507262</v>
      </c>
      <c r="U48" s="311">
        <f t="shared" ca="1" si="2"/>
        <v>0</v>
      </c>
      <c r="V48" s="306">
        <f t="shared" ca="1" si="3"/>
        <v>1.224359624267231</v>
      </c>
      <c r="W48" s="304">
        <f t="shared" ca="1" si="4"/>
        <v>5.1374264814337289</v>
      </c>
      <c r="Y48" s="314" t="str">
        <f t="shared" ca="1" si="22"/>
        <v/>
      </c>
      <c r="Z48" s="315" t="str">
        <f t="shared" ca="1" si="23"/>
        <v/>
      </c>
      <c r="AA48" s="316" t="str">
        <f t="shared" ca="1" si="24"/>
        <v/>
      </c>
      <c r="AC48" s="310" t="e">
        <f t="shared" ca="1" si="25"/>
        <v>#N/A</v>
      </c>
      <c r="AD48" s="323" t="e">
        <f t="shared" ca="1" si="26"/>
        <v>#N/A</v>
      </c>
      <c r="AE48" s="324">
        <f t="shared" ca="1" si="5"/>
        <v>5.2289237270389517</v>
      </c>
      <c r="AG48" s="306">
        <f t="shared" ca="1" si="27"/>
        <v>67.487775595378181</v>
      </c>
      <c r="AH48" s="304">
        <f t="shared" ca="1" si="28"/>
        <v>76.953151016403979</v>
      </c>
    </row>
    <row r="49" spans="1:34" x14ac:dyDescent="0.2">
      <c r="A49" s="347">
        <f t="shared" ca="1" si="6"/>
        <v>0.01</v>
      </c>
      <c r="B49" s="304">
        <f t="shared" ca="1" si="7"/>
        <v>0.45000000000000023</v>
      </c>
      <c r="D49" s="306">
        <f t="shared" ca="1" si="8"/>
        <v>20.301175502846821</v>
      </c>
      <c r="E49" s="307">
        <f t="shared" ca="1" si="9"/>
        <v>64.464776592610932</v>
      </c>
      <c r="F49" s="304">
        <f t="shared" ca="1" si="10"/>
        <v>67.58583540900139</v>
      </c>
      <c r="G49" s="306">
        <f t="shared" ca="1" si="11"/>
        <v>7.276600893949519</v>
      </c>
      <c r="H49" s="307">
        <f t="shared" ca="1" si="12"/>
        <v>26.524393149517579</v>
      </c>
      <c r="I49" s="304">
        <f t="shared" ca="1" si="13"/>
        <v>27.504406056484878</v>
      </c>
      <c r="J49" s="306">
        <f t="shared" ca="1" si="14"/>
        <v>1.4761471976216929</v>
      </c>
      <c r="K49" s="307">
        <f t="shared" ca="1" si="15"/>
        <v>5.4909444197044968</v>
      </c>
      <c r="L49" s="304">
        <f t="shared" ca="1" si="0"/>
        <v>5.6859019662082044</v>
      </c>
      <c r="M49" s="306">
        <f t="shared" ca="1" si="16"/>
        <v>1.3030473617080651</v>
      </c>
      <c r="N49" s="304">
        <f t="shared" ca="1" si="17"/>
        <v>74.659114331528926</v>
      </c>
      <c r="P49" s="310">
        <f t="shared" ca="1" si="18"/>
        <v>4</v>
      </c>
      <c r="Q49" s="304">
        <f t="shared" ca="1" si="19"/>
        <v>1793.4449756097563</v>
      </c>
      <c r="R49" s="306">
        <f t="shared" ca="1" si="20"/>
        <v>1.0785314240031392</v>
      </c>
      <c r="S49" s="307">
        <f t="shared" ca="1" si="21"/>
        <v>23.225008075232566</v>
      </c>
      <c r="T49" s="304">
        <f t="shared" ca="1" si="1"/>
        <v>227.83732921803147</v>
      </c>
      <c r="U49" s="311">
        <f t="shared" ca="1" si="2"/>
        <v>0</v>
      </c>
      <c r="V49" s="306">
        <f t="shared" ca="1" si="3"/>
        <v>1.2243275439295318</v>
      </c>
      <c r="W49" s="304">
        <f t="shared" ca="1" si="4"/>
        <v>5.3991926026724215</v>
      </c>
      <c r="Y49" s="314" t="str">
        <f t="shared" ca="1" si="22"/>
        <v/>
      </c>
      <c r="Z49" s="315" t="str">
        <f t="shared" ca="1" si="23"/>
        <v/>
      </c>
      <c r="AA49" s="316" t="str">
        <f t="shared" ca="1" si="24"/>
        <v/>
      </c>
      <c r="AC49" s="310" t="e">
        <f t="shared" ca="1" si="25"/>
        <v>#N/A</v>
      </c>
      <c r="AD49" s="323" t="e">
        <f t="shared" ca="1" si="26"/>
        <v>#N/A</v>
      </c>
      <c r="AE49" s="324">
        <f t="shared" ca="1" si="5"/>
        <v>5.4909444197044968</v>
      </c>
      <c r="AG49" s="306">
        <f t="shared" ca="1" si="27"/>
        <v>67.536326754038811</v>
      </c>
      <c r="AH49" s="304">
        <f t="shared" ca="1" si="28"/>
        <v>76.999221844637191</v>
      </c>
    </row>
    <row r="50" spans="1:34" x14ac:dyDescent="0.2">
      <c r="A50" s="347">
        <f t="shared" ca="1" si="6"/>
        <v>0.01</v>
      </c>
      <c r="B50" s="304">
        <f t="shared" ca="1" si="7"/>
        <v>0.46000000000000024</v>
      </c>
      <c r="D50" s="306">
        <f t="shared" ca="1" si="8"/>
        <v>20.389444685008204</v>
      </c>
      <c r="E50" s="307">
        <f t="shared" ca="1" si="9"/>
        <v>64.512840404121647</v>
      </c>
      <c r="F50" s="304">
        <f t="shared" ca="1" si="10"/>
        <v>67.658229592346558</v>
      </c>
      <c r="G50" s="306">
        <f t="shared" ca="1" si="11"/>
        <v>7.4804953407996013</v>
      </c>
      <c r="H50" s="307">
        <f t="shared" ca="1" si="12"/>
        <v>27.169521553558795</v>
      </c>
      <c r="I50" s="304">
        <f t="shared" ca="1" si="13"/>
        <v>28.180502337485407</v>
      </c>
      <c r="J50" s="306">
        <f t="shared" ca="1" si="14"/>
        <v>1.5499326787954384</v>
      </c>
      <c r="K50" s="307">
        <f t="shared" ca="1" si="15"/>
        <v>5.7594139932198782</v>
      </c>
      <c r="L50" s="304">
        <f t="shared" ca="1" si="0"/>
        <v>5.9643223298288426</v>
      </c>
      <c r="M50" s="306">
        <f t="shared" ca="1" si="16"/>
        <v>1.3021263892922939</v>
      </c>
      <c r="N50" s="304">
        <f t="shared" ca="1" si="17"/>
        <v>74.606346499057267</v>
      </c>
      <c r="P50" s="310">
        <f t="shared" ca="1" si="18"/>
        <v>5</v>
      </c>
      <c r="Q50" s="304">
        <f t="shared" ca="1" si="19"/>
        <v>1794.4931255411257</v>
      </c>
      <c r="R50" s="306">
        <f t="shared" ca="1" si="20"/>
        <v>1.0791617542632934</v>
      </c>
      <c r="S50" s="307">
        <f t="shared" ca="1" si="21"/>
        <v>23.214216457689933</v>
      </c>
      <c r="T50" s="304">
        <f t="shared" ca="1" si="1"/>
        <v>227.73146344993825</v>
      </c>
      <c r="U50" s="311">
        <f t="shared" ca="1" si="2"/>
        <v>0</v>
      </c>
      <c r="V50" s="306">
        <f t="shared" ca="1" si="3"/>
        <v>1.2242946748987935</v>
      </c>
      <c r="W50" s="304">
        <f t="shared" ca="1" si="4"/>
        <v>5.6677420898270174</v>
      </c>
      <c r="Y50" s="314" t="str">
        <f t="shared" ca="1" si="22"/>
        <v/>
      </c>
      <c r="Z50" s="315" t="str">
        <f t="shared" ca="1" si="23"/>
        <v/>
      </c>
      <c r="AA50" s="316" t="str">
        <f t="shared" ca="1" si="24"/>
        <v/>
      </c>
      <c r="AC50" s="310" t="e">
        <f t="shared" ca="1" si="25"/>
        <v>#N/A</v>
      </c>
      <c r="AD50" s="323" t="e">
        <f t="shared" ca="1" si="26"/>
        <v>#N/A</v>
      </c>
      <c r="AE50" s="324">
        <f t="shared" ca="1" si="5"/>
        <v>5.7594139932198782</v>
      </c>
      <c r="AG50" s="306">
        <f t="shared" ca="1" si="27"/>
        <v>67.60843297885495</v>
      </c>
      <c r="AH50" s="304">
        <f t="shared" ca="1" si="28"/>
        <v>77.068891650908967</v>
      </c>
    </row>
    <row r="51" spans="1:34" x14ac:dyDescent="0.2">
      <c r="A51" s="347">
        <f t="shared" ca="1" si="6"/>
        <v>0.01</v>
      </c>
      <c r="B51" s="304">
        <f t="shared" ca="1" si="7"/>
        <v>0.47000000000000025</v>
      </c>
      <c r="D51" s="306">
        <f t="shared" ca="1" si="8"/>
        <v>20.477906686855242</v>
      </c>
      <c r="E51" s="307">
        <f t="shared" ca="1" si="9"/>
        <v>64.566749366547597</v>
      </c>
      <c r="F51" s="304">
        <f t="shared" ca="1" si="10"/>
        <v>67.736325454206067</v>
      </c>
      <c r="G51" s="306">
        <f t="shared" ca="1" si="11"/>
        <v>7.6852744076681541</v>
      </c>
      <c r="H51" s="307">
        <f t="shared" ca="1" si="12"/>
        <v>27.815189047224269</v>
      </c>
      <c r="I51" s="304">
        <f t="shared" ca="1" si="13"/>
        <v>28.85737660380763</v>
      </c>
      <c r="J51" s="306">
        <f t="shared" ca="1" si="14"/>
        <v>1.6257615275377773</v>
      </c>
      <c r="K51" s="307">
        <f t="shared" ca="1" si="15"/>
        <v>6.0343375462237931</v>
      </c>
      <c r="L51" s="304">
        <f t="shared" ca="1" si="0"/>
        <v>6.2495063938032871</v>
      </c>
      <c r="M51" s="306">
        <f t="shared" ca="1" si="16"/>
        <v>1.3012240001827813</v>
      </c>
      <c r="N51" s="304">
        <f t="shared" ca="1" si="17"/>
        <v>74.554643411603635</v>
      </c>
      <c r="P51" s="310">
        <f t="shared" ca="1" si="18"/>
        <v>5</v>
      </c>
      <c r="Q51" s="304">
        <f t="shared" ca="1" si="19"/>
        <v>1795.6795324675327</v>
      </c>
      <c r="R51" s="306">
        <f t="shared" ca="1" si="20"/>
        <v>1.0798752287044873</v>
      </c>
      <c r="S51" s="307">
        <f t="shared" ca="1" si="21"/>
        <v>23.203417705402888</v>
      </c>
      <c r="T51" s="304">
        <f t="shared" ca="1" si="1"/>
        <v>227.62552769000234</v>
      </c>
      <c r="U51" s="311">
        <f t="shared" ca="1" si="2"/>
        <v>0</v>
      </c>
      <c r="V51" s="306">
        <f t="shared" ca="1" si="3"/>
        <v>1.2242610166143471</v>
      </c>
      <c r="W51" s="304">
        <f t="shared" ca="1" si="4"/>
        <v>5.9431182752396019</v>
      </c>
      <c r="Y51" s="314" t="str">
        <f t="shared" ca="1" si="22"/>
        <v/>
      </c>
      <c r="Z51" s="315" t="str">
        <f t="shared" ca="1" si="23"/>
        <v/>
      </c>
      <c r="AA51" s="316" t="str">
        <f t="shared" ca="1" si="24"/>
        <v/>
      </c>
      <c r="AC51" s="310" t="e">
        <f t="shared" ca="1" si="25"/>
        <v>#N/A</v>
      </c>
      <c r="AD51" s="323" t="e">
        <f t="shared" ca="1" si="26"/>
        <v>#N/A</v>
      </c>
      <c r="AE51" s="324">
        <f t="shared" ca="1" si="5"/>
        <v>6.0343375462237931</v>
      </c>
      <c r="AG51" s="306">
        <f t="shared" ca="1" si="27"/>
        <v>67.686251695405261</v>
      </c>
      <c r="AH51" s="304">
        <f t="shared" ca="1" si="28"/>
        <v>77.144316113436318</v>
      </c>
    </row>
    <row r="52" spans="1:34" x14ac:dyDescent="0.2">
      <c r="A52" s="347">
        <f t="shared" ca="1" si="6"/>
        <v>0.01</v>
      </c>
      <c r="B52" s="304">
        <f t="shared" ca="1" si="7"/>
        <v>0.48000000000000026</v>
      </c>
      <c r="D52" s="306">
        <f t="shared" ca="1" si="8"/>
        <v>20.565048735143773</v>
      </c>
      <c r="E52" s="307">
        <f t="shared" ca="1" si="9"/>
        <v>64.620747425577648</v>
      </c>
      <c r="F52" s="304">
        <f t="shared" ca="1" si="10"/>
        <v>67.814174236063209</v>
      </c>
      <c r="G52" s="306">
        <f t="shared" ca="1" si="11"/>
        <v>7.8909248950195918</v>
      </c>
      <c r="H52" s="307">
        <f t="shared" ca="1" si="12"/>
        <v>28.461396521480047</v>
      </c>
      <c r="I52" s="304">
        <f t="shared" ca="1" si="13"/>
        <v>29.535026454224763</v>
      </c>
      <c r="J52" s="306">
        <f t="shared" ca="1" si="14"/>
        <v>1.7036425240512161</v>
      </c>
      <c r="K52" s="307">
        <f t="shared" ca="1" si="15"/>
        <v>6.315720474067315</v>
      </c>
      <c r="L52" s="304">
        <f t="shared" ca="1" si="0"/>
        <v>6.541461836341222</v>
      </c>
      <c r="M52" s="306">
        <f t="shared" ca="1" si="16"/>
        <v>1.3003394260579189</v>
      </c>
      <c r="N52" s="304">
        <f t="shared" ca="1" si="17"/>
        <v>74.503961047582536</v>
      </c>
      <c r="P52" s="310">
        <f t="shared" ca="1" si="18"/>
        <v>5</v>
      </c>
      <c r="Q52" s="304">
        <f t="shared" ca="1" si="19"/>
        <v>1796.8659393939395</v>
      </c>
      <c r="R52" s="306">
        <f t="shared" ca="1" si="20"/>
        <v>1.0805887031456809</v>
      </c>
      <c r="S52" s="307">
        <f t="shared" ca="1" si="21"/>
        <v>23.192611818371432</v>
      </c>
      <c r="T52" s="304">
        <f t="shared" ca="1" si="1"/>
        <v>227.51952193822376</v>
      </c>
      <c r="U52" s="311">
        <f t="shared" ca="1" si="2"/>
        <v>0</v>
      </c>
      <c r="V52" s="306">
        <f t="shared" ca="1" si="3"/>
        <v>1.2242265684807909</v>
      </c>
      <c r="W52" s="304">
        <f t="shared" ca="1" si="4"/>
        <v>6.2253415947579853</v>
      </c>
      <c r="Y52" s="314" t="str">
        <f t="shared" ca="1" si="22"/>
        <v/>
      </c>
      <c r="Z52" s="315" t="str">
        <f t="shared" ca="1" si="23"/>
        <v/>
      </c>
      <c r="AA52" s="316" t="str">
        <f t="shared" ca="1" si="24"/>
        <v/>
      </c>
      <c r="AC52" s="310" t="e">
        <f t="shared" ca="1" si="25"/>
        <v>#N/A</v>
      </c>
      <c r="AD52" s="323" t="e">
        <f t="shared" ca="1" si="26"/>
        <v>#N/A</v>
      </c>
      <c r="AE52" s="324">
        <f t="shared" ca="1" si="5"/>
        <v>6.315720474067315</v>
      </c>
      <c r="AG52" s="306">
        <f t="shared" ca="1" si="27"/>
        <v>67.763829526139347</v>
      </c>
      <c r="AH52" s="304">
        <f t="shared" ca="1" si="28"/>
        <v>77.219540220134519</v>
      </c>
    </row>
    <row r="53" spans="1:34" x14ac:dyDescent="0.2">
      <c r="A53" s="347">
        <f t="shared" ca="1" si="6"/>
        <v>0.01</v>
      </c>
      <c r="B53" s="304">
        <f t="shared" ca="1" si="7"/>
        <v>0.49000000000000027</v>
      </c>
      <c r="D53" s="306">
        <f t="shared" ca="1" si="8"/>
        <v>20.650924129516209</v>
      </c>
      <c r="E53" s="307">
        <f t="shared" ca="1" si="9"/>
        <v>64.674822502381943</v>
      </c>
      <c r="F53" s="304">
        <f t="shared" ca="1" si="10"/>
        <v>67.891776623665137</v>
      </c>
      <c r="G53" s="306">
        <f t="shared" ca="1" si="11"/>
        <v>8.0974341363147531</v>
      </c>
      <c r="H53" s="307">
        <f t="shared" ca="1" si="12"/>
        <v>29.108144746503868</v>
      </c>
      <c r="I53" s="304">
        <f t="shared" ca="1" si="13"/>
        <v>30.213449491499247</v>
      </c>
      <c r="J53" s="306">
        <f t="shared" ca="1" si="14"/>
        <v>1.7835843192078877</v>
      </c>
      <c r="K53" s="307">
        <f t="shared" ca="1" si="15"/>
        <v>6.6035681804072341</v>
      </c>
      <c r="L53" s="304">
        <f t="shared" ca="1" si="0"/>
        <v>6.8401963229874605</v>
      </c>
      <c r="M53" s="306">
        <f t="shared" ca="1" si="16"/>
        <v>1.2994719464077116</v>
      </c>
      <c r="N53" s="304">
        <f t="shared" ca="1" si="17"/>
        <v>74.454258124812171</v>
      </c>
      <c r="P53" s="310">
        <f t="shared" ca="1" si="18"/>
        <v>5</v>
      </c>
      <c r="Q53" s="304">
        <f t="shared" ca="1" si="19"/>
        <v>1798.0523463203465</v>
      </c>
      <c r="R53" s="306">
        <f t="shared" ca="1" si="20"/>
        <v>1.0813021775868745</v>
      </c>
      <c r="S53" s="307">
        <f t="shared" ca="1" si="21"/>
        <v>23.181798796595565</v>
      </c>
      <c r="T53" s="304">
        <f t="shared" ca="1" si="1"/>
        <v>227.4134461946025</v>
      </c>
      <c r="U53" s="311">
        <f t="shared" ca="1" si="2"/>
        <v>0</v>
      </c>
      <c r="V53" s="306">
        <f t="shared" ca="1" si="3"/>
        <v>1.2241913299033063</v>
      </c>
      <c r="W53" s="304">
        <f t="shared" ca="1" si="4"/>
        <v>6.5144323893463749</v>
      </c>
      <c r="Y53" s="314" t="str">
        <f t="shared" ca="1" si="22"/>
        <v/>
      </c>
      <c r="Z53" s="315" t="str">
        <f t="shared" ca="1" si="23"/>
        <v/>
      </c>
      <c r="AA53" s="316" t="str">
        <f t="shared" ca="1" si="24"/>
        <v/>
      </c>
      <c r="AC53" s="310" t="e">
        <f t="shared" ca="1" si="25"/>
        <v>#N/A</v>
      </c>
      <c r="AD53" s="323" t="e">
        <f t="shared" ca="1" si="26"/>
        <v>#N/A</v>
      </c>
      <c r="AE53" s="324">
        <f t="shared" ca="1" si="5"/>
        <v>6.6035681804072341</v>
      </c>
      <c r="AG53" s="306">
        <f t="shared" ca="1" si="27"/>
        <v>67.841166914843939</v>
      </c>
      <c r="AH53" s="304">
        <f t="shared" ca="1" si="28"/>
        <v>77.294562878732805</v>
      </c>
    </row>
    <row r="54" spans="1:34" x14ac:dyDescent="0.2">
      <c r="A54" s="347">
        <f t="shared" ca="1" si="6"/>
        <v>0.01</v>
      </c>
      <c r="B54" s="304">
        <f t="shared" ca="1" si="7"/>
        <v>0.50000000000000022</v>
      </c>
      <c r="D54" s="306">
        <f t="shared" ca="1" si="8"/>
        <v>20.735582779950583</v>
      </c>
      <c r="E54" s="307">
        <f t="shared" ca="1" si="9"/>
        <v>64.728963182800129</v>
      </c>
      <c r="F54" s="304">
        <f t="shared" ca="1" si="10"/>
        <v>67.969133199890649</v>
      </c>
      <c r="G54" s="306">
        <f t="shared" ca="1" si="11"/>
        <v>8.3047899641142582</v>
      </c>
      <c r="H54" s="307">
        <f t="shared" ca="1" si="12"/>
        <v>29.75543437833187</v>
      </c>
      <c r="I54" s="304">
        <f t="shared" ca="1" si="13"/>
        <v>30.892643321529917</v>
      </c>
      <c r="J54" s="306">
        <f t="shared" ca="1" si="14"/>
        <v>1.8655954397100327</v>
      </c>
      <c r="K54" s="307">
        <f t="shared" ca="1" si="15"/>
        <v>6.8978860760314129</v>
      </c>
      <c r="L54" s="304">
        <f t="shared" ca="1" si="0"/>
        <v>7.1457175050917678</v>
      </c>
      <c r="M54" s="306">
        <f t="shared" ca="1" si="16"/>
        <v>1.2986208845991192</v>
      </c>
      <c r="N54" s="304">
        <f t="shared" ca="1" si="17"/>
        <v>74.405495875075061</v>
      </c>
      <c r="P54" s="310">
        <f t="shared" ca="1" si="18"/>
        <v>5</v>
      </c>
      <c r="Q54" s="304">
        <f t="shared" ca="1" si="19"/>
        <v>1799.2387532467533</v>
      </c>
      <c r="R54" s="306">
        <f t="shared" ca="1" si="20"/>
        <v>1.0820156520280682</v>
      </c>
      <c r="S54" s="307">
        <f t="shared" ca="1" si="21"/>
        <v>23.170978640075283</v>
      </c>
      <c r="T54" s="304">
        <f t="shared" ca="1" si="1"/>
        <v>227.30730045913853</v>
      </c>
      <c r="U54" s="311">
        <f t="shared" ca="1" si="2"/>
        <v>0</v>
      </c>
      <c r="V54" s="306">
        <f t="shared" ca="1" si="3"/>
        <v>1.2241553002878052</v>
      </c>
      <c r="W54" s="304">
        <f t="shared" ca="1" si="4"/>
        <v>6.810410904476023</v>
      </c>
      <c r="Y54" s="314" t="str">
        <f t="shared" ca="1" si="22"/>
        <v/>
      </c>
      <c r="Z54" s="315" t="str">
        <f t="shared" ca="1" si="23"/>
        <v/>
      </c>
      <c r="AA54" s="316" t="str">
        <f t="shared" ca="1" si="24"/>
        <v/>
      </c>
      <c r="AC54" s="310" t="e">
        <f t="shared" ca="1" si="25"/>
        <v>#N/A</v>
      </c>
      <c r="AD54" s="323" t="e">
        <f t="shared" ca="1" si="26"/>
        <v>#N/A</v>
      </c>
      <c r="AE54" s="324">
        <f t="shared" ca="1" si="5"/>
        <v>6.8978860760314129</v>
      </c>
      <c r="AG54" s="306">
        <f t="shared" ca="1" si="27"/>
        <v>67.918264216476658</v>
      </c>
      <c r="AH54" s="304">
        <f t="shared" ca="1" si="28"/>
        <v>77.369382998644994</v>
      </c>
    </row>
    <row r="55" spans="1:34" x14ac:dyDescent="0.2">
      <c r="A55" s="347">
        <f t="shared" ca="1" si="6"/>
        <v>0.01</v>
      </c>
      <c r="B55" s="304">
        <f t="shared" ca="1" si="7"/>
        <v>0.51000000000000023</v>
      </c>
      <c r="D55" s="306">
        <f t="shared" ca="1" si="8"/>
        <v>20.819071487659425</v>
      </c>
      <c r="E55" s="307">
        <f t="shared" ca="1" si="9"/>
        <v>64.783158664539471</v>
      </c>
      <c r="F55" s="304">
        <f t="shared" ca="1" si="10"/>
        <v>68.046244453042149</v>
      </c>
      <c r="G55" s="306">
        <f t="shared" ca="1" si="11"/>
        <v>8.5129806789908518</v>
      </c>
      <c r="H55" s="307">
        <f t="shared" ca="1" si="12"/>
        <v>30.403265964977265</v>
      </c>
      <c r="I55" s="304">
        <f t="shared" ca="1" si="13"/>
        <v>31.572605552567506</v>
      </c>
      <c r="J55" s="306">
        <f t="shared" ca="1" si="14"/>
        <v>1.9496842929255582</v>
      </c>
      <c r="K55" s="307">
        <f t="shared" ca="1" si="15"/>
        <v>7.1986795777479582</v>
      </c>
      <c r="L55" s="304">
        <f t="shared" ca="1" si="0"/>
        <v>7.4580330185087114</v>
      </c>
      <c r="M55" s="306">
        <f t="shared" ca="1" si="16"/>
        <v>1.2977856043408138</v>
      </c>
      <c r="N55" s="304">
        <f t="shared" ca="1" si="17"/>
        <v>74.357637841563559</v>
      </c>
      <c r="P55" s="310">
        <f t="shared" ca="1" si="18"/>
        <v>5</v>
      </c>
      <c r="Q55" s="304">
        <f t="shared" ca="1" si="19"/>
        <v>1800.4251601731603</v>
      </c>
      <c r="R55" s="306">
        <f t="shared" ca="1" si="20"/>
        <v>1.082729126469262</v>
      </c>
      <c r="S55" s="307">
        <f t="shared" ca="1" si="21"/>
        <v>23.16015134881059</v>
      </c>
      <c r="T55" s="304">
        <f t="shared" ca="1" si="1"/>
        <v>227.20108473183191</v>
      </c>
      <c r="U55" s="311">
        <f t="shared" ca="1" si="2"/>
        <v>0</v>
      </c>
      <c r="V55" s="306">
        <f t="shared" ca="1" si="3"/>
        <v>1.2241184790410722</v>
      </c>
      <c r="W55" s="304">
        <f t="shared" ca="1" si="4"/>
        <v>7.1132972894992239</v>
      </c>
      <c r="Y55" s="314" t="str">
        <f t="shared" ca="1" si="22"/>
        <v/>
      </c>
      <c r="Z55" s="315" t="str">
        <f t="shared" ca="1" si="23"/>
        <v/>
      </c>
      <c r="AA55" s="316" t="str">
        <f t="shared" ca="1" si="24"/>
        <v/>
      </c>
      <c r="AC55" s="310" t="e">
        <f t="shared" ca="1" si="25"/>
        <v>#N/A</v>
      </c>
      <c r="AD55" s="323" t="e">
        <f t="shared" ca="1" si="26"/>
        <v>#N/A</v>
      </c>
      <c r="AE55" s="324">
        <f t="shared" ca="1" si="5"/>
        <v>7.1986795777479582</v>
      </c>
      <c r="AG55" s="306">
        <f t="shared" ca="1" si="27"/>
        <v>67.995121704355029</v>
      </c>
      <c r="AH55" s="304">
        <f t="shared" ca="1" si="28"/>
        <v>77.443999490996291</v>
      </c>
    </row>
    <row r="56" spans="1:34" x14ac:dyDescent="0.2">
      <c r="A56" s="347">
        <f t="shared" ca="1" si="6"/>
        <v>0.01</v>
      </c>
      <c r="B56" s="304">
        <f t="shared" ca="1" si="7"/>
        <v>0.52000000000000024</v>
      </c>
      <c r="D56" s="306">
        <f t="shared" ca="1" si="8"/>
        <v>20.901434197356831</v>
      </c>
      <c r="E56" s="307">
        <f t="shared" ca="1" si="9"/>
        <v>64.837398709595234</v>
      </c>
      <c r="F56" s="304">
        <f t="shared" ca="1" si="10"/>
        <v>68.123110784325306</v>
      </c>
      <c r="G56" s="306">
        <f t="shared" ca="1" si="11"/>
        <v>8.7219950209644193</v>
      </c>
      <c r="H56" s="307">
        <f t="shared" ca="1" si="12"/>
        <v>31.051639952073216</v>
      </c>
      <c r="I56" s="304">
        <f t="shared" ca="1" si="13"/>
        <v>32.253333794491972</v>
      </c>
      <c r="J56" s="306">
        <f t="shared" ca="1" si="14"/>
        <v>2.0358591714253347</v>
      </c>
      <c r="K56" s="307">
        <f t="shared" ca="1" si="15"/>
        <v>7.5059541073332108</v>
      </c>
      <c r="L56" s="304">
        <f t="shared" ca="1" si="0"/>
        <v>7.777150482488361</v>
      </c>
      <c r="M56" s="306">
        <f t="shared" ca="1" si="16"/>
        <v>1.2969655064994534</v>
      </c>
      <c r="N56" s="304">
        <f t="shared" ca="1" si="17"/>
        <v>74.310649696465816</v>
      </c>
      <c r="P56" s="310">
        <f t="shared" ca="1" si="18"/>
        <v>5</v>
      </c>
      <c r="Q56" s="304">
        <f t="shared" ca="1" si="19"/>
        <v>1801.6115670995673</v>
      </c>
      <c r="R56" s="306">
        <f t="shared" ca="1" si="20"/>
        <v>1.0834426009104559</v>
      </c>
      <c r="S56" s="307">
        <f t="shared" ca="1" si="21"/>
        <v>23.149316922801486</v>
      </c>
      <c r="T56" s="304">
        <f t="shared" ca="1" si="1"/>
        <v>227.09479901268259</v>
      </c>
      <c r="U56" s="311">
        <f t="shared" ca="1" si="2"/>
        <v>0</v>
      </c>
      <c r="V56" s="306">
        <f t="shared" ca="1" si="3"/>
        <v>1.2240808655708941</v>
      </c>
      <c r="W56" s="304">
        <f t="shared" ca="1" si="4"/>
        <v>7.4231115970080888</v>
      </c>
      <c r="Y56" s="314" t="str">
        <f t="shared" ca="1" si="22"/>
        <v/>
      </c>
      <c r="Z56" s="315" t="str">
        <f t="shared" ca="1" si="23"/>
        <v/>
      </c>
      <c r="AA56" s="316" t="str">
        <f t="shared" ca="1" si="24"/>
        <v/>
      </c>
      <c r="AC56" s="310" t="e">
        <f t="shared" ca="1" si="25"/>
        <v>#N/A</v>
      </c>
      <c r="AD56" s="323" t="e">
        <f t="shared" ca="1" si="26"/>
        <v>#N/A</v>
      </c>
      <c r="AE56" s="324">
        <f t="shared" ca="1" si="5"/>
        <v>7.5059541073332108</v>
      </c>
      <c r="AG56" s="306">
        <f t="shared" ca="1" si="27"/>
        <v>68.071739576641335</v>
      </c>
      <c r="AH56" s="304">
        <f t="shared" ca="1" si="28"/>
        <v>77.518411268651008</v>
      </c>
    </row>
    <row r="57" spans="1:34" x14ac:dyDescent="0.2">
      <c r="A57" s="347">
        <f t="shared" ca="1" si="6"/>
        <v>0.01</v>
      </c>
      <c r="B57" s="304">
        <f t="shared" ca="1" si="7"/>
        <v>0.53000000000000025</v>
      </c>
      <c r="D57" s="306">
        <f t="shared" ca="1" si="8"/>
        <v>20.98271222433711</v>
      </c>
      <c r="E57" s="307">
        <f t="shared" ca="1" si="9"/>
        <v>64.891673601280914</v>
      </c>
      <c r="F57" s="304">
        <f t="shared" ca="1" si="10"/>
        <v>68.199732514611256</v>
      </c>
      <c r="G57" s="306">
        <f t="shared" ca="1" si="11"/>
        <v>8.9318221432077909</v>
      </c>
      <c r="H57" s="307">
        <f t="shared" ca="1" si="12"/>
        <v>31.700556688086024</v>
      </c>
      <c r="I57" s="304">
        <f t="shared" ca="1" si="13"/>
        <v>32.934825658145705</v>
      </c>
      <c r="J57" s="306">
        <f t="shared" ca="1" si="14"/>
        <v>2.1241282572461957</v>
      </c>
      <c r="K57" s="307">
        <f t="shared" ca="1" si="15"/>
        <v>7.8197150905340074</v>
      </c>
      <c r="L57" s="304">
        <f t="shared" ca="1" si="0"/>
        <v>8.1030774987258418</v>
      </c>
      <c r="M57" s="306">
        <f t="shared" ca="1" si="16"/>
        <v>1.2961600262261539</v>
      </c>
      <c r="N57" s="304">
        <f t="shared" ca="1" si="17"/>
        <v>74.264499076324711</v>
      </c>
      <c r="P57" s="310">
        <f t="shared" ca="1" si="18"/>
        <v>5</v>
      </c>
      <c r="Q57" s="304">
        <f t="shared" ca="1" si="19"/>
        <v>1802.7979740259741</v>
      </c>
      <c r="R57" s="306">
        <f t="shared" ca="1" si="20"/>
        <v>1.0841560753516495</v>
      </c>
      <c r="S57" s="307">
        <f t="shared" ca="1" si="21"/>
        <v>23.13847536204797</v>
      </c>
      <c r="T57" s="304">
        <f t="shared" ca="1" si="1"/>
        <v>226.98844330169061</v>
      </c>
      <c r="U57" s="311">
        <f t="shared" ca="1" si="2"/>
        <v>0</v>
      </c>
      <c r="V57" s="306">
        <f t="shared" ca="1" si="3"/>
        <v>1.2240424592861883</v>
      </c>
      <c r="W57" s="304">
        <f t="shared" ca="1" si="4"/>
        <v>7.7398737821794121</v>
      </c>
      <c r="Y57" s="314" t="str">
        <f t="shared" ca="1" si="22"/>
        <v/>
      </c>
      <c r="Z57" s="315" t="str">
        <f t="shared" ca="1" si="23"/>
        <v/>
      </c>
      <c r="AA57" s="316" t="str">
        <f t="shared" ca="1" si="24"/>
        <v/>
      </c>
      <c r="AC57" s="310" t="e">
        <f t="shared" ca="1" si="25"/>
        <v>#N/A</v>
      </c>
      <c r="AD57" s="323" t="e">
        <f t="shared" ca="1" si="26"/>
        <v>#N/A</v>
      </c>
      <c r="AE57" s="324">
        <f t="shared" ca="1" si="5"/>
        <v>7.8197150905340074</v>
      </c>
      <c r="AG57" s="306">
        <f t="shared" ca="1" si="27"/>
        <v>68.148117962205475</v>
      </c>
      <c r="AH57" s="304">
        <f t="shared" ca="1" si="28"/>
        <v>77.592617246241005</v>
      </c>
    </row>
    <row r="58" spans="1:34" x14ac:dyDescent="0.2">
      <c r="A58" s="347">
        <f t="shared" ca="1" si="6"/>
        <v>0.01</v>
      </c>
      <c r="B58" s="304">
        <f t="shared" ca="1" si="7"/>
        <v>0.54000000000000026</v>
      </c>
      <c r="D58" s="306">
        <f t="shared" ca="1" si="8"/>
        <v>21.062944459334155</v>
      </c>
      <c r="E58" s="307">
        <f t="shared" ca="1" si="9"/>
        <v>64.945974105338394</v>
      </c>
      <c r="F58" s="304">
        <f t="shared" ca="1" si="10"/>
        <v>68.276109890563333</v>
      </c>
      <c r="G58" s="306">
        <f t="shared" ca="1" si="11"/>
        <v>9.1424515878011317</v>
      </c>
      <c r="H58" s="307">
        <f t="shared" ca="1" si="12"/>
        <v>32.350016429139409</v>
      </c>
      <c r="I58" s="304">
        <f t="shared" ca="1" si="13"/>
        <v>33.617078754717475</v>
      </c>
      <c r="J58" s="306">
        <f t="shared" ca="1" si="14"/>
        <v>2.2144996259012402</v>
      </c>
      <c r="K58" s="307">
        <f t="shared" ca="1" si="15"/>
        <v>8.1399679561201346</v>
      </c>
      <c r="L58" s="304">
        <f t="shared" ca="1" si="0"/>
        <v>8.4358216505435522</v>
      </c>
      <c r="M58" s="306">
        <f t="shared" ca="1" si="16"/>
        <v>1.2953686303574214</v>
      </c>
      <c r="N58" s="304">
        <f t="shared" ca="1" si="17"/>
        <v>74.219155433122253</v>
      </c>
      <c r="P58" s="310">
        <f t="shared" ca="1" si="18"/>
        <v>5</v>
      </c>
      <c r="Q58" s="304">
        <f t="shared" ca="1" si="19"/>
        <v>1803.9843809523811</v>
      </c>
      <c r="R58" s="306">
        <f t="shared" ca="1" si="20"/>
        <v>1.0848695497928431</v>
      </c>
      <c r="S58" s="307">
        <f t="shared" ca="1" si="21"/>
        <v>23.127626666550043</v>
      </c>
      <c r="T58" s="304">
        <f t="shared" ca="1" si="1"/>
        <v>226.88201759885592</v>
      </c>
      <c r="U58" s="311">
        <f t="shared" ca="1" si="2"/>
        <v>0</v>
      </c>
      <c r="V58" s="306">
        <f t="shared" ca="1" si="3"/>
        <v>1.2240032595971222</v>
      </c>
      <c r="W58" s="304">
        <f t="shared" ca="1" si="4"/>
        <v>8.0636037021067892</v>
      </c>
      <c r="Y58" s="314" t="str">
        <f t="shared" ca="1" si="22"/>
        <v/>
      </c>
      <c r="Z58" s="315" t="str">
        <f t="shared" ca="1" si="23"/>
        <v/>
      </c>
      <c r="AA58" s="316" t="str">
        <f t="shared" ca="1" si="24"/>
        <v/>
      </c>
      <c r="AC58" s="310" t="e">
        <f t="shared" ca="1" si="25"/>
        <v>#N/A</v>
      </c>
      <c r="AD58" s="323" t="e">
        <f t="shared" ca="1" si="26"/>
        <v>#N/A</v>
      </c>
      <c r="AE58" s="324">
        <f t="shared" ca="1" si="5"/>
        <v>8.1399679561201346</v>
      </c>
      <c r="AG58" s="306">
        <f t="shared" ca="1" si="27"/>
        <v>68.224256925937283</v>
      </c>
      <c r="AH58" s="304">
        <f t="shared" ca="1" si="28"/>
        <v>77.666616340194849</v>
      </c>
    </row>
    <row r="59" spans="1:34" x14ac:dyDescent="0.2">
      <c r="A59" s="347">
        <f t="shared" ca="1" si="6"/>
        <v>0.01</v>
      </c>
      <c r="B59" s="304">
        <f t="shared" ca="1" si="7"/>
        <v>0.55000000000000027</v>
      </c>
      <c r="D59" s="306">
        <f t="shared" ca="1" si="8"/>
        <v>21.142167553728999</v>
      </c>
      <c r="E59" s="307">
        <f t="shared" ca="1" si="9"/>
        <v>65.000291434668569</v>
      </c>
      <c r="F59" s="304">
        <f t="shared" ca="1" si="10"/>
        <v>68.352243090200048</v>
      </c>
      <c r="G59" s="306">
        <f t="shared" ca="1" si="11"/>
        <v>9.3538732633384214</v>
      </c>
      <c r="H59" s="307">
        <f t="shared" ca="1" si="12"/>
        <v>33.000019343486095</v>
      </c>
      <c r="I59" s="304">
        <f t="shared" ca="1" si="13"/>
        <v>34.300090695172422</v>
      </c>
      <c r="J59" s="306">
        <f t="shared" ca="1" si="14"/>
        <v>2.3069812501569378</v>
      </c>
      <c r="K59" s="307">
        <f t="shared" ca="1" si="15"/>
        <v>8.4667181349832621</v>
      </c>
      <c r="L59" s="304">
        <f t="shared" ca="1" si="0"/>
        <v>8.7753905021845107</v>
      </c>
      <c r="M59" s="306">
        <f t="shared" ca="1" si="16"/>
        <v>1.2945908150595344</v>
      </c>
      <c r="N59" s="304">
        <f t="shared" ca="1" si="17"/>
        <v>74.174589899312622</v>
      </c>
      <c r="P59" s="310">
        <f t="shared" ca="1" si="18"/>
        <v>5</v>
      </c>
      <c r="Q59" s="304">
        <f t="shared" ca="1" si="19"/>
        <v>1805.1707878787879</v>
      </c>
      <c r="R59" s="306">
        <f t="shared" ca="1" si="20"/>
        <v>1.0855830242340367</v>
      </c>
      <c r="S59" s="307">
        <f t="shared" ca="1" si="21"/>
        <v>23.116770836307701</v>
      </c>
      <c r="T59" s="304">
        <f t="shared" ca="1" si="1"/>
        <v>226.77552190417856</v>
      </c>
      <c r="U59" s="311">
        <f t="shared" ca="1" si="2"/>
        <v>0</v>
      </c>
      <c r="V59" s="306">
        <f t="shared" ca="1" si="3"/>
        <v>1.2239632659152284</v>
      </c>
      <c r="W59" s="304">
        <f t="shared" ca="1" si="4"/>
        <v>8.3943211151210129</v>
      </c>
      <c r="Y59" s="314" t="str">
        <f t="shared" ca="1" si="22"/>
        <v/>
      </c>
      <c r="Z59" s="315" t="str">
        <f t="shared" ca="1" si="23"/>
        <v/>
      </c>
      <c r="AA59" s="316" t="str">
        <f t="shared" ca="1" si="24"/>
        <v/>
      </c>
      <c r="AC59" s="310" t="e">
        <f t="shared" ca="1" si="25"/>
        <v>#N/A</v>
      </c>
      <c r="AD59" s="323" t="e">
        <f t="shared" ca="1" si="26"/>
        <v>#N/A</v>
      </c>
      <c r="AE59" s="324">
        <f t="shared" ca="1" si="5"/>
        <v>8.4667181349832621</v>
      </c>
      <c r="AG59" s="306">
        <f t="shared" ca="1" si="27"/>
        <v>68.300156473569871</v>
      </c>
      <c r="AH59" s="304">
        <f t="shared" ca="1" si="28"/>
        <v>77.740407468767472</v>
      </c>
    </row>
    <row r="60" spans="1:34" x14ac:dyDescent="0.2">
      <c r="A60" s="347">
        <f t="shared" ca="1" si="6"/>
        <v>0.01</v>
      </c>
      <c r="B60" s="304">
        <f t="shared" ca="1" si="7"/>
        <v>0.56000000000000028</v>
      </c>
      <c r="D60" s="306">
        <f t="shared" ca="1" si="8"/>
        <v>21.220416087332726</v>
      </c>
      <c r="E60" s="307">
        <f t="shared" ca="1" si="9"/>
        <v>65.054617217282427</v>
      </c>
      <c r="F60" s="304">
        <f t="shared" ca="1" si="10"/>
        <v>68.428132227956283</v>
      </c>
      <c r="G60" s="306">
        <f t="shared" ca="1" si="11"/>
        <v>9.5660774242117483</v>
      </c>
      <c r="H60" s="307">
        <f t="shared" ca="1" si="12"/>
        <v>33.650565515658919</v>
      </c>
      <c r="I60" s="304">
        <f t="shared" ca="1" si="13"/>
        <v>34.983859089724035</v>
      </c>
      <c r="J60" s="306">
        <f t="shared" ca="1" si="14"/>
        <v>2.4015810035946887</v>
      </c>
      <c r="K60" s="307">
        <f t="shared" ca="1" si="15"/>
        <v>8.7999710592789864</v>
      </c>
      <c r="L60" s="304">
        <f t="shared" ca="1" si="0"/>
        <v>9.1217915981990405</v>
      </c>
      <c r="M60" s="306">
        <f t="shared" ca="1" si="16"/>
        <v>1.2938261036893883</v>
      </c>
      <c r="N60" s="304">
        <f t="shared" ca="1" si="17"/>
        <v>74.130775165257575</v>
      </c>
      <c r="P60" s="310">
        <f t="shared" ca="1" si="18"/>
        <v>5</v>
      </c>
      <c r="Q60" s="304">
        <f t="shared" ca="1" si="19"/>
        <v>1806.3571948051949</v>
      </c>
      <c r="R60" s="306">
        <f t="shared" ca="1" si="20"/>
        <v>1.0862964986752306</v>
      </c>
      <c r="S60" s="307">
        <f t="shared" ca="1" si="21"/>
        <v>23.105907871320948</v>
      </c>
      <c r="T60" s="304">
        <f t="shared" ca="1" si="1"/>
        <v>226.66895621765852</v>
      </c>
      <c r="U60" s="311">
        <f t="shared" ca="1" si="2"/>
        <v>0</v>
      </c>
      <c r="V60" s="306">
        <f t="shared" ca="1" si="3"/>
        <v>1.2239224776535118</v>
      </c>
      <c r="W60" s="304">
        <f t="shared" ca="1" si="4"/>
        <v>8.7320456800997341</v>
      </c>
      <c r="Y60" s="314" t="str">
        <f t="shared" ca="1" si="22"/>
        <v/>
      </c>
      <c r="Z60" s="315" t="str">
        <f t="shared" ca="1" si="23"/>
        <v/>
      </c>
      <c r="AA60" s="316" t="str">
        <f t="shared" ca="1" si="24"/>
        <v/>
      </c>
      <c r="AC60" s="310" t="e">
        <f t="shared" ca="1" si="25"/>
        <v>#N/A</v>
      </c>
      <c r="AD60" s="323" t="e">
        <f t="shared" ca="1" si="26"/>
        <v>#N/A</v>
      </c>
      <c r="AE60" s="324">
        <f t="shared" ca="1" si="5"/>
        <v>8.7999710592789864</v>
      </c>
      <c r="AG60" s="306">
        <f t="shared" ca="1" si="27"/>
        <v>68.375816556068514</v>
      </c>
      <c r="AH60" s="304">
        <f t="shared" ca="1" si="28"/>
        <v>77.813989552070595</v>
      </c>
    </row>
    <row r="61" spans="1:34" x14ac:dyDescent="0.2">
      <c r="A61" s="347">
        <f t="shared" ca="1" si="6"/>
        <v>0.01</v>
      </c>
      <c r="B61" s="304">
        <f t="shared" ca="1" si="7"/>
        <v>0.57000000000000028</v>
      </c>
      <c r="D61" s="306">
        <f t="shared" ca="1" si="8"/>
        <v>21.297722720682021</v>
      </c>
      <c r="E61" s="307">
        <f t="shared" ca="1" si="9"/>
        <v>65.108943467123652</v>
      </c>
      <c r="F61" s="304">
        <f t="shared" ca="1" si="10"/>
        <v>68.503777359297189</v>
      </c>
      <c r="G61" s="306">
        <f t="shared" ca="1" si="11"/>
        <v>9.7790546514185692</v>
      </c>
      <c r="H61" s="307">
        <f t="shared" ca="1" si="12"/>
        <v>34.301654950330153</v>
      </c>
      <c r="I61" s="304">
        <f t="shared" ca="1" si="13"/>
        <v>35.668381547344424</v>
      </c>
      <c r="J61" s="306">
        <f t="shared" ca="1" si="14"/>
        <v>2.4983066639728402</v>
      </c>
      <c r="K61" s="307">
        <f t="shared" ca="1" si="15"/>
        <v>9.1397321616089311</v>
      </c>
      <c r="L61" s="304">
        <f t="shared" ca="1" si="0"/>
        <v>9.4750324629100753</v>
      </c>
      <c r="M61" s="306">
        <f t="shared" ca="1" si="16"/>
        <v>1.2930740448482574</v>
      </c>
      <c r="N61" s="304">
        <f t="shared" ca="1" si="17"/>
        <v>74.087685367715281</v>
      </c>
      <c r="P61" s="310">
        <f t="shared" ca="1" si="18"/>
        <v>5</v>
      </c>
      <c r="Q61" s="304">
        <f t="shared" ca="1" si="19"/>
        <v>1807.5436017316019</v>
      </c>
      <c r="R61" s="306">
        <f t="shared" ca="1" si="20"/>
        <v>1.0870099731164244</v>
      </c>
      <c r="S61" s="307">
        <f t="shared" ca="1" si="21"/>
        <v>23.095037771589784</v>
      </c>
      <c r="T61" s="304">
        <f t="shared" ca="1" si="1"/>
        <v>226.5623205392958</v>
      </c>
      <c r="U61" s="311">
        <f t="shared" ca="1" si="2"/>
        <v>0</v>
      </c>
      <c r="V61" s="306">
        <f t="shared" ca="1" si="3"/>
        <v>1.2238808942265544</v>
      </c>
      <c r="W61" s="304">
        <f t="shared" ca="1" si="4"/>
        <v>9.0767969557673052</v>
      </c>
      <c r="Y61" s="314" t="str">
        <f t="shared" ca="1" si="22"/>
        <v/>
      </c>
      <c r="Z61" s="315" t="str">
        <f t="shared" ca="1" si="23"/>
        <v/>
      </c>
      <c r="AA61" s="316" t="str">
        <f t="shared" ca="1" si="24"/>
        <v/>
      </c>
      <c r="AC61" s="310" t="e">
        <f t="shared" ca="1" si="25"/>
        <v>#N/A</v>
      </c>
      <c r="AD61" s="323" t="e">
        <f t="shared" ca="1" si="26"/>
        <v>#N/A</v>
      </c>
      <c r="AE61" s="324">
        <f t="shared" ca="1" si="5"/>
        <v>9.1397321616089311</v>
      </c>
      <c r="AG61" s="306">
        <f t="shared" ca="1" si="27"/>
        <v>68.451237073631418</v>
      </c>
      <c r="AH61" s="304">
        <f t="shared" ca="1" si="28"/>
        <v>77.887361512103652</v>
      </c>
    </row>
    <row r="62" spans="1:34" x14ac:dyDescent="0.2">
      <c r="A62" s="347">
        <f t="shared" ca="1" si="6"/>
        <v>0.01</v>
      </c>
      <c r="B62" s="304">
        <f t="shared" ca="1" si="7"/>
        <v>0.58000000000000029</v>
      </c>
      <c r="D62" s="306">
        <f t="shared" ca="1" si="8"/>
        <v>21.374118333537385</v>
      </c>
      <c r="E62" s="307">
        <f t="shared" ca="1" si="9"/>
        <v>65.16326255745696</v>
      </c>
      <c r="F62" s="304">
        <f t="shared" ca="1" si="10"/>
        <v>68.579178484931788</v>
      </c>
      <c r="G62" s="306">
        <f t="shared" ca="1" si="11"/>
        <v>9.9927958347539434</v>
      </c>
      <c r="H62" s="307">
        <f t="shared" ca="1" si="12"/>
        <v>34.953287575904724</v>
      </c>
      <c r="I62" s="304">
        <f t="shared" ca="1" si="13"/>
        <v>36.353655675309618</v>
      </c>
      <c r="J62" s="306">
        <f t="shared" ca="1" si="14"/>
        <v>2.5971659164037026</v>
      </c>
      <c r="K62" s="307">
        <f t="shared" ca="1" si="15"/>
        <v>9.4860068742401058</v>
      </c>
      <c r="L62" s="304">
        <f t="shared" ca="1" si="0"/>
        <v>9.8351205999448545</v>
      </c>
      <c r="M62" s="306">
        <f t="shared" ca="1" si="16"/>
        <v>1.2923342106078679</v>
      </c>
      <c r="N62" s="304">
        <f t="shared" ca="1" si="17"/>
        <v>74.045295988201687</v>
      </c>
      <c r="P62" s="310">
        <f t="shared" ca="1" si="18"/>
        <v>5</v>
      </c>
      <c r="Q62" s="304">
        <f t="shared" ca="1" si="19"/>
        <v>1808.7300086580087</v>
      </c>
      <c r="R62" s="306">
        <f t="shared" ca="1" si="20"/>
        <v>1.0877234475576181</v>
      </c>
      <c r="S62" s="307">
        <f t="shared" ca="1" si="21"/>
        <v>23.084160537114208</v>
      </c>
      <c r="T62" s="304">
        <f t="shared" ca="1" si="1"/>
        <v>226.4556148690904</v>
      </c>
      <c r="U62" s="311">
        <f t="shared" ca="1" si="2"/>
        <v>0</v>
      </c>
      <c r="V62" s="306">
        <f t="shared" ca="1" si="3"/>
        <v>1.2238385150506161</v>
      </c>
      <c r="W62" s="304">
        <f t="shared" ca="1" si="4"/>
        <v>9.4285943999856059</v>
      </c>
      <c r="Y62" s="314" t="str">
        <f t="shared" ca="1" si="22"/>
        <v/>
      </c>
      <c r="Z62" s="315" t="str">
        <f t="shared" ca="1" si="23"/>
        <v/>
      </c>
      <c r="AA62" s="316" t="str">
        <f t="shared" ca="1" si="24"/>
        <v/>
      </c>
      <c r="AC62" s="310" t="e">
        <f t="shared" ca="1" si="25"/>
        <v>#N/A</v>
      </c>
      <c r="AD62" s="323" t="e">
        <f t="shared" ca="1" si="26"/>
        <v>#N/A</v>
      </c>
      <c r="AE62" s="324">
        <f t="shared" ca="1" si="5"/>
        <v>9.4860068742401058</v>
      </c>
      <c r="AG62" s="306">
        <f t="shared" ca="1" si="27"/>
        <v>68.52641787934401</v>
      </c>
      <c r="AH62" s="304">
        <f t="shared" ca="1" si="28"/>
        <v>77.960522272785198</v>
      </c>
    </row>
    <row r="63" spans="1:34" x14ac:dyDescent="0.2">
      <c r="A63" s="347">
        <f t="shared" ca="1" si="6"/>
        <v>0.01</v>
      </c>
      <c r="B63" s="304">
        <f t="shared" ca="1" si="7"/>
        <v>0.5900000000000003</v>
      </c>
      <c r="D63" s="306">
        <f t="shared" ca="1" si="8"/>
        <v>21.449632151062325</v>
      </c>
      <c r="E63" s="307">
        <f t="shared" ca="1" si="9"/>
        <v>65.217567196554711</v>
      </c>
      <c r="F63" s="304">
        <f t="shared" ca="1" si="10"/>
        <v>68.654335554668464</v>
      </c>
      <c r="G63" s="306">
        <f t="shared" ca="1" si="11"/>
        <v>10.207292156264566</v>
      </c>
      <c r="H63" s="307">
        <f t="shared" ca="1" si="12"/>
        <v>35.605463247870269</v>
      </c>
      <c r="I63" s="304">
        <f t="shared" ca="1" si="13"/>
        <v>37.039679078776864</v>
      </c>
      <c r="J63" s="306">
        <f t="shared" ca="1" si="14"/>
        <v>2.6981663563587954</v>
      </c>
      <c r="K63" s="307">
        <f t="shared" ca="1" si="15"/>
        <v>9.8388006283589799</v>
      </c>
      <c r="L63" s="304">
        <f t="shared" ca="1" si="0"/>
        <v>10.202063491822797</v>
      </c>
      <c r="M63" s="306">
        <f t="shared" ca="1" si="16"/>
        <v>1.2916061948907107</v>
      </c>
      <c r="N63" s="304">
        <f t="shared" ca="1" si="17"/>
        <v>74.0035837601894</v>
      </c>
      <c r="P63" s="310">
        <f t="shared" ca="1" si="18"/>
        <v>5</v>
      </c>
      <c r="Q63" s="304">
        <f t="shared" ca="1" si="19"/>
        <v>1809.9164155844157</v>
      </c>
      <c r="R63" s="306">
        <f t="shared" ca="1" si="20"/>
        <v>1.0884369219988117</v>
      </c>
      <c r="S63" s="307">
        <f t="shared" ca="1" si="21"/>
        <v>23.073276167894221</v>
      </c>
      <c r="T63" s="304">
        <f t="shared" ca="1" si="1"/>
        <v>226.34883920704232</v>
      </c>
      <c r="U63" s="311">
        <f t="shared" ca="1" si="2"/>
        <v>0</v>
      </c>
      <c r="V63" s="306">
        <f t="shared" ca="1" si="3"/>
        <v>1.2237953395437287</v>
      </c>
      <c r="W63" s="304">
        <f t="shared" ca="1" si="4"/>
        <v>9.7874573690365523</v>
      </c>
      <c r="Y63" s="314" t="str">
        <f t="shared" ca="1" si="22"/>
        <v/>
      </c>
      <c r="Z63" s="315" t="str">
        <f t="shared" ca="1" si="23"/>
        <v/>
      </c>
      <c r="AA63" s="316" t="str">
        <f t="shared" ca="1" si="24"/>
        <v/>
      </c>
      <c r="AC63" s="310" t="e">
        <f t="shared" ca="1" si="25"/>
        <v>#N/A</v>
      </c>
      <c r="AD63" s="323" t="e">
        <f t="shared" ca="1" si="26"/>
        <v>#N/A</v>
      </c>
      <c r="AE63" s="324">
        <f t="shared" ca="1" si="5"/>
        <v>9.8388006283589799</v>
      </c>
      <c r="AG63" s="306">
        <f t="shared" ca="1" si="27"/>
        <v>68.601358782522681</v>
      </c>
      <c r="AH63" s="304">
        <f t="shared" ca="1" si="28"/>
        <v>78.033470759984908</v>
      </c>
    </row>
    <row r="64" spans="1:34" x14ac:dyDescent="0.2">
      <c r="A64" s="347">
        <f t="shared" ca="1" si="6"/>
        <v>0.01</v>
      </c>
      <c r="B64" s="304">
        <f t="shared" ca="1" si="7"/>
        <v>0.60000000000000031</v>
      </c>
      <c r="D64" s="306">
        <f t="shared" ca="1" si="8"/>
        <v>21.524291858979666</v>
      </c>
      <c r="E64" s="307">
        <f t="shared" ca="1" si="9"/>
        <v>65.271850405445505</v>
      </c>
      <c r="F64" s="304">
        <f t="shared" ca="1" si="10"/>
        <v>68.729248470948633</v>
      </c>
      <c r="G64" s="306">
        <f t="shared" ca="1" si="11"/>
        <v>10.422535074854363</v>
      </c>
      <c r="H64" s="307">
        <f t="shared" ca="1" si="12"/>
        <v>36.258181751924724</v>
      </c>
      <c r="I64" s="304">
        <f t="shared" ca="1" si="13"/>
        <v>37.726449360391399</v>
      </c>
      <c r="J64" s="306">
        <f t="shared" ca="1" si="14"/>
        <v>2.8013154925143899</v>
      </c>
      <c r="K64" s="307">
        <f t="shared" ca="1" si="15"/>
        <v>10.198118853357954</v>
      </c>
      <c r="L64" s="304">
        <f t="shared" ca="1" si="0"/>
        <v>10.575868599591056</v>
      </c>
      <c r="M64" s="306">
        <f t="shared" ca="1" si="16"/>
        <v>1.2908896119887037</v>
      </c>
      <c r="N64" s="304">
        <f t="shared" ca="1" si="17"/>
        <v>73.96252658423316</v>
      </c>
      <c r="P64" s="310">
        <f t="shared" ca="1" si="18"/>
        <v>5</v>
      </c>
      <c r="Q64" s="304">
        <f t="shared" ca="1" si="19"/>
        <v>1811.1028225108225</v>
      </c>
      <c r="R64" s="306">
        <f t="shared" ca="1" si="20"/>
        <v>1.0891503964400053</v>
      </c>
      <c r="S64" s="307">
        <f t="shared" ca="1" si="21"/>
        <v>23.062384663929819</v>
      </c>
      <c r="T64" s="304">
        <f t="shared" ca="1" si="1"/>
        <v>226.24199355315153</v>
      </c>
      <c r="U64" s="311">
        <f t="shared" ca="1" si="2"/>
        <v>0</v>
      </c>
      <c r="V64" s="306">
        <f t="shared" ca="1" si="3"/>
        <v>1.2237513671257867</v>
      </c>
      <c r="W64" s="304">
        <f t="shared" ca="1" si="4"/>
        <v>10.153405116897053</v>
      </c>
      <c r="Y64" s="314" t="str">
        <f t="shared" ca="1" si="22"/>
        <v/>
      </c>
      <c r="Z64" s="315" t="str">
        <f t="shared" ca="1" si="23"/>
        <v/>
      </c>
      <c r="AA64" s="316" t="str">
        <f t="shared" ca="1" si="24"/>
        <v/>
      </c>
      <c r="AC64" s="310" t="e">
        <f t="shared" ca="1" si="25"/>
        <v>#N/A</v>
      </c>
      <c r="AD64" s="323" t="e">
        <f t="shared" ca="1" si="26"/>
        <v>#N/A</v>
      </c>
      <c r="AE64" s="324">
        <f t="shared" ca="1" si="5"/>
        <v>10.198118853357954</v>
      </c>
      <c r="AG64" s="306">
        <f t="shared" ca="1" si="27"/>
        <v>68.676059551779701</v>
      </c>
      <c r="AH64" s="304">
        <f t="shared" ca="1" si="28"/>
        <v>78.106205901555839</v>
      </c>
    </row>
    <row r="65" spans="1:34" x14ac:dyDescent="0.2">
      <c r="A65" s="347">
        <f t="shared" ca="1" si="6"/>
        <v>0.01</v>
      </c>
      <c r="B65" s="304">
        <f t="shared" ca="1" si="7"/>
        <v>0.61000000000000032</v>
      </c>
      <c r="D65" s="306">
        <f t="shared" ca="1" si="8"/>
        <v>21.59812370884439</v>
      </c>
      <c r="E65" s="307">
        <f t="shared" ca="1" si="9"/>
        <v>65.326105497517588</v>
      </c>
      <c r="F65" s="304">
        <f t="shared" ca="1" si="10"/>
        <v>68.803917092091098</v>
      </c>
      <c r="G65" s="306">
        <f t="shared" ca="1" si="11"/>
        <v>10.638516311942807</v>
      </c>
      <c r="H65" s="307">
        <f t="shared" ca="1" si="12"/>
        <v>36.911442806899899</v>
      </c>
      <c r="I65" s="304">
        <f t="shared" ca="1" si="13"/>
        <v>38.413964119920188</v>
      </c>
      <c r="J65" s="306">
        <f t="shared" ca="1" si="14"/>
        <v>2.9066207494483756</v>
      </c>
      <c r="K65" s="307">
        <f t="shared" ca="1" si="15"/>
        <v>10.563966976152077</v>
      </c>
      <c r="L65" s="304">
        <f t="shared" ca="1" si="0"/>
        <v>10.956543362500579</v>
      </c>
      <c r="M65" s="306">
        <f t="shared" ca="1" si="16"/>
        <v>1.2901840952061894</v>
      </c>
      <c r="N65" s="304">
        <f t="shared" ca="1" si="17"/>
        <v>73.922103450219439</v>
      </c>
      <c r="P65" s="310">
        <f t="shared" ca="1" si="18"/>
        <v>5</v>
      </c>
      <c r="Q65" s="304">
        <f t="shared" ca="1" si="19"/>
        <v>1812.2892294372296</v>
      </c>
      <c r="R65" s="306">
        <f t="shared" ca="1" si="20"/>
        <v>1.0898638708811992</v>
      </c>
      <c r="S65" s="307">
        <f t="shared" ca="1" si="21"/>
        <v>23.051486025221006</v>
      </c>
      <c r="T65" s="304">
        <f t="shared" ca="1" si="1"/>
        <v>226.13507790741809</v>
      </c>
      <c r="U65" s="311">
        <f t="shared" ca="1" si="2"/>
        <v>0</v>
      </c>
      <c r="V65" s="306">
        <f t="shared" ca="1" si="3"/>
        <v>1.2237065972186352</v>
      </c>
      <c r="W65" s="304">
        <f t="shared" ca="1" si="4"/>
        <v>10.526456794506984</v>
      </c>
      <c r="Y65" s="314" t="str">
        <f t="shared" ca="1" si="22"/>
        <v/>
      </c>
      <c r="Z65" s="315" t="str">
        <f t="shared" ca="1" si="23"/>
        <v/>
      </c>
      <c r="AA65" s="316" t="str">
        <f t="shared" ca="1" si="24"/>
        <v/>
      </c>
      <c r="AC65" s="310" t="e">
        <f t="shared" ca="1" si="25"/>
        <v>#N/A</v>
      </c>
      <c r="AD65" s="323" t="e">
        <f t="shared" ca="1" si="26"/>
        <v>#N/A</v>
      </c>
      <c r="AE65" s="324">
        <f t="shared" ca="1" si="5"/>
        <v>10.563966976152077</v>
      </c>
      <c r="AG65" s="306">
        <f t="shared" ca="1" si="27"/>
        <v>68.75051991783748</v>
      </c>
      <c r="AH65" s="304">
        <f t="shared" ca="1" si="28"/>
        <v>78.178726627367368</v>
      </c>
    </row>
    <row r="66" spans="1:34" x14ac:dyDescent="0.2">
      <c r="A66" s="347">
        <f t="shared" ca="1" si="6"/>
        <v>0.01</v>
      </c>
      <c r="B66" s="304">
        <f t="shared" ca="1" si="7"/>
        <v>0.62000000000000033</v>
      </c>
      <c r="D66" s="306">
        <f t="shared" ca="1" si="8"/>
        <v>21.671152614437403</v>
      </c>
      <c r="E66" s="307">
        <f t="shared" ca="1" si="9"/>
        <v>65.380326059792935</v>
      </c>
      <c r="F66" s="304">
        <f t="shared" ca="1" si="10"/>
        <v>68.87834123527567</v>
      </c>
      <c r="G66" s="306">
        <f t="shared" ca="1" si="11"/>
        <v>10.855227838087181</v>
      </c>
      <c r="H66" s="307">
        <f t="shared" ca="1" si="12"/>
        <v>37.565246067497831</v>
      </c>
      <c r="I66" s="304">
        <f t="shared" ca="1" si="13"/>
        <v>39.102220953910589</v>
      </c>
      <c r="J66" s="306">
        <f t="shared" ca="1" si="14"/>
        <v>3.0140894701985257</v>
      </c>
      <c r="K66" s="307">
        <f t="shared" ca="1" si="15"/>
        <v>10.936350420524066</v>
      </c>
      <c r="L66" s="304">
        <f t="shared" ca="1" si="0"/>
        <v>11.344095197716676</v>
      </c>
      <c r="M66" s="306">
        <f t="shared" ca="1" si="16"/>
        <v>1.2894892956149024</v>
      </c>
      <c r="N66" s="304">
        <f t="shared" ca="1" si="17"/>
        <v>73.882294366031289</v>
      </c>
      <c r="P66" s="310">
        <f t="shared" ca="1" si="18"/>
        <v>5</v>
      </c>
      <c r="Q66" s="304">
        <f t="shared" ca="1" si="19"/>
        <v>1813.4756363636366</v>
      </c>
      <c r="R66" s="306">
        <f t="shared" ca="1" si="20"/>
        <v>1.090577345322393</v>
      </c>
      <c r="S66" s="307">
        <f t="shared" ca="1" si="21"/>
        <v>23.040580251767782</v>
      </c>
      <c r="T66" s="304">
        <f t="shared" ca="1" si="1"/>
        <v>226.02809226984195</v>
      </c>
      <c r="U66" s="311">
        <f t="shared" ca="1" si="2"/>
        <v>0</v>
      </c>
      <c r="V66" s="306">
        <f t="shared" ca="1" si="3"/>
        <v>1.2236610292461541</v>
      </c>
      <c r="W66" s="304">
        <f t="shared" ca="1" si="4"/>
        <v>10.906631449030852</v>
      </c>
      <c r="Y66" s="314" t="str">
        <f t="shared" ca="1" si="22"/>
        <v/>
      </c>
      <c r="Z66" s="315" t="str">
        <f t="shared" ca="1" si="23"/>
        <v/>
      </c>
      <c r="AA66" s="316" t="str">
        <f t="shared" ca="1" si="24"/>
        <v/>
      </c>
      <c r="AC66" s="310" t="e">
        <f t="shared" ca="1" si="25"/>
        <v>#N/A</v>
      </c>
      <c r="AD66" s="323" t="e">
        <f t="shared" ca="1" si="26"/>
        <v>#N/A</v>
      </c>
      <c r="AE66" s="324">
        <f t="shared" ca="1" si="5"/>
        <v>10.936350420524066</v>
      </c>
      <c r="AG66" s="306">
        <f t="shared" ca="1" si="27"/>
        <v>68.824739576116983</v>
      </c>
      <c r="AH66" s="304">
        <f t="shared" ca="1" si="28"/>
        <v>78.251031869338405</v>
      </c>
    </row>
    <row r="67" spans="1:34" x14ac:dyDescent="0.2">
      <c r="A67" s="347">
        <f t="shared" ca="1" si="6"/>
        <v>0.01</v>
      </c>
      <c r="B67" s="304">
        <f t="shared" ca="1" si="7"/>
        <v>0.63000000000000034</v>
      </c>
      <c r="D67" s="306">
        <f t="shared" ca="1" si="8"/>
        <v>21.743402240166297</v>
      </c>
      <c r="E67" s="307">
        <f t="shared" ca="1" si="9"/>
        <v>65.434505935709538</v>
      </c>
      <c r="F67" s="304">
        <f t="shared" ca="1" si="10"/>
        <v>68.952520679291169</v>
      </c>
      <c r="G67" s="306">
        <f t="shared" ca="1" si="11"/>
        <v>11.072661860488845</v>
      </c>
      <c r="H67" s="307">
        <f t="shared" ca="1" si="12"/>
        <v>38.21959112685493</v>
      </c>
      <c r="I67" s="304">
        <f t="shared" ca="1" si="13"/>
        <v>39.791217455371886</v>
      </c>
      <c r="J67" s="306">
        <f t="shared" ca="1" si="14"/>
        <v>3.1237289186914059</v>
      </c>
      <c r="K67" s="307">
        <f t="shared" ca="1" si="15"/>
        <v>11.31527460649583</v>
      </c>
      <c r="L67" s="304">
        <f t="shared" ca="1" si="0"/>
        <v>11.738531500059041</v>
      </c>
      <c r="M67" s="306">
        <f t="shared" ca="1" si="16"/>
        <v>1.2888048809099399</v>
      </c>
      <c r="N67" s="304">
        <f t="shared" ca="1" si="17"/>
        <v>73.843080292000238</v>
      </c>
      <c r="P67" s="310">
        <f t="shared" ca="1" si="18"/>
        <v>5</v>
      </c>
      <c r="Q67" s="304">
        <f t="shared" ca="1" si="19"/>
        <v>1814.6620432900434</v>
      </c>
      <c r="R67" s="306">
        <f t="shared" ca="1" si="20"/>
        <v>1.0912908197635867</v>
      </c>
      <c r="S67" s="307">
        <f t="shared" ca="1" si="21"/>
        <v>23.029667343570146</v>
      </c>
      <c r="T67" s="304">
        <f t="shared" ca="1" si="1"/>
        <v>225.92103664042315</v>
      </c>
      <c r="U67" s="311">
        <f t="shared" ca="1" si="2"/>
        <v>0</v>
      </c>
      <c r="V67" s="306">
        <f t="shared" ca="1" si="3"/>
        <v>1.22361466263434</v>
      </c>
      <c r="W67" s="304">
        <f t="shared" ca="1" si="4"/>
        <v>11.293948023113604</v>
      </c>
      <c r="Y67" s="314" t="str">
        <f t="shared" ca="1" si="22"/>
        <v/>
      </c>
      <c r="Z67" s="315" t="str">
        <f t="shared" ca="1" si="23"/>
        <v/>
      </c>
      <c r="AA67" s="316" t="str">
        <f t="shared" ca="1" si="24"/>
        <v/>
      </c>
      <c r="AC67" s="310" t="e">
        <f t="shared" ca="1" si="25"/>
        <v>#N/A</v>
      </c>
      <c r="AD67" s="323" t="e">
        <f t="shared" ca="1" si="26"/>
        <v>#N/A</v>
      </c>
      <c r="AE67" s="324">
        <f t="shared" ca="1" si="5"/>
        <v>11.31527460649583</v>
      </c>
      <c r="AG67" s="306">
        <f t="shared" ca="1" si="27"/>
        <v>68.898718189121738</v>
      </c>
      <c r="AH67" s="304">
        <f t="shared" ca="1" si="28"/>
        <v>78.323120561470844</v>
      </c>
    </row>
    <row r="68" spans="1:34" x14ac:dyDescent="0.2">
      <c r="A68" s="347">
        <f t="shared" ca="1" si="6"/>
        <v>0.01</v>
      </c>
      <c r="B68" s="304">
        <f t="shared" ca="1" si="7"/>
        <v>0.64000000000000035</v>
      </c>
      <c r="D68" s="306">
        <f t="shared" ca="1" si="8"/>
        <v>21.814895082258797</v>
      </c>
      <c r="E68" s="307">
        <f t="shared" ca="1" si="9"/>
        <v>65.488639209267816</v>
      </c>
      <c r="F68" s="304">
        <f t="shared" ca="1" si="10"/>
        <v>69.026455167070608</v>
      </c>
      <c r="G68" s="306">
        <f t="shared" ca="1" si="11"/>
        <v>11.290810811311433</v>
      </c>
      <c r="H68" s="307">
        <f t="shared" ca="1" si="12"/>
        <v>38.874477518947607</v>
      </c>
      <c r="I68" s="304">
        <f t="shared" ca="1" si="13"/>
        <v>40.48095121347805</v>
      </c>
      <c r="J68" s="306">
        <f t="shared" ca="1" si="14"/>
        <v>3.2355462820504073</v>
      </c>
      <c r="K68" s="307">
        <f t="shared" ca="1" si="15"/>
        <v>11.700744949724843</v>
      </c>
      <c r="L68" s="304">
        <f t="shared" ref="L68:L131" ca="1" si="29">SQRT(pos_x^2+pos_z^2)</f>
        <v>12.139859641766936</v>
      </c>
      <c r="M68" s="306">
        <f t="shared" ca="1" si="16"/>
        <v>1.2881305343570177</v>
      </c>
      <c r="N68" s="304">
        <f t="shared" ca="1" si="17"/>
        <v>73.804443080588598</v>
      </c>
      <c r="P68" s="310">
        <f t="shared" ca="1" si="18"/>
        <v>5</v>
      </c>
      <c r="Q68" s="304">
        <f t="shared" ca="1" si="19"/>
        <v>1815.8484502164504</v>
      </c>
      <c r="R68" s="306">
        <f t="shared" ca="1" si="20"/>
        <v>1.0920042942047803</v>
      </c>
      <c r="S68" s="307">
        <f t="shared" ca="1" si="21"/>
        <v>23.0187473006281</v>
      </c>
      <c r="T68" s="304">
        <f t="shared" ref="T68:T131" ca="1" si="30">m*g</f>
        <v>225.81391101916168</v>
      </c>
      <c r="U68" s="311">
        <f t="shared" ref="U68:U131" ca="1" si="31">IF(pos_xz&lt;L_rampe,Poids*COS(Beta),0)</f>
        <v>0</v>
      </c>
      <c r="V68" s="306">
        <f t="shared" ref="V68:V131" ca="1" si="32">Rho_moyen*(20000-Alt_rampe-pos_z)/(20000+Alt_rampe+pos_z)</f>
        <v>1.2235674968113812</v>
      </c>
      <c r="W68" s="304">
        <f t="shared" ref="W68:W131" ca="1" si="33">1/2*Rho*Sref*Cx*vit_xz^2</f>
        <v>11.68842535413113</v>
      </c>
      <c r="Y68" s="314" t="str">
        <f t="shared" ca="1" si="22"/>
        <v/>
      </c>
      <c r="Z68" s="315" t="str">
        <f t="shared" ca="1" si="23"/>
        <v/>
      </c>
      <c r="AA68" s="316" t="str">
        <f t="shared" ca="1" si="24"/>
        <v/>
      </c>
      <c r="AC68" s="310" t="e">
        <f t="shared" ca="1" si="25"/>
        <v>#N/A</v>
      </c>
      <c r="AD68" s="323" t="e">
        <f t="shared" ca="1" si="26"/>
        <v>#N/A</v>
      </c>
      <c r="AE68" s="324">
        <f t="shared" ref="AE68:AE131" ca="1" si="34">IF(t&lt;T_para, pos_z, NA())</f>
        <v>11.700744949724843</v>
      </c>
      <c r="AG68" s="306">
        <f t="shared" ca="1" si="27"/>
        <v>68.97245538863794</v>
      </c>
      <c r="AH68" s="304">
        <f t="shared" ca="1" si="28"/>
        <v>78.394991639883756</v>
      </c>
    </row>
    <row r="69" spans="1:34" x14ac:dyDescent="0.2">
      <c r="A69" s="347">
        <f t="shared" ref="A69:A132" ca="1" si="35">IF(B68+0.01&lt;=T_ini+ROUNDUP(Temps_fin_propu,0), 0.01, IF(K68&gt;0, 0.1, 0.0001))</f>
        <v>0.01</v>
      </c>
      <c r="B69" s="304">
        <f t="shared" ref="B69:B132" ca="1" si="36">B68+pas</f>
        <v>0.65000000000000036</v>
      </c>
      <c r="D69" s="306">
        <f t="shared" ref="D69:D132" ca="1" si="37">IF(AND(L68&lt;L_rampe,Poussee&lt;Poids*SIN(M68)),0,(-W68+Poussee)/m*COS(M68)-U68/m*SIN(M68))</f>
        <v>21.88565254344449</v>
      </c>
      <c r="E69" s="307">
        <f t="shared" ref="E69:E132" ca="1" si="38">IF(AND(L68&lt;L_rampe,Poussee&lt;Poids*SIN(M68)),0,(-W68+Poussee)/m*SIN(M68)+U68/m*COS(M68)-Poids/m)</f>
        <v>65.542720190412226</v>
      </c>
      <c r="F69" s="304">
        <f t="shared" ref="F69:F132" ca="1" si="39">SQRT(acc_x^2+acc_z^2)</f>
        <v>69.100144408033245</v>
      </c>
      <c r="G69" s="306">
        <f t="shared" ref="G69:G132" ca="1" si="40">G68+acc_x*pas</f>
        <v>11.509667336745878</v>
      </c>
      <c r="H69" s="307">
        <f t="shared" ref="H69:H132" ca="1" si="41">H68+acc_z*pas</f>
        <v>39.529904720851732</v>
      </c>
      <c r="I69" s="304">
        <f t="shared" ref="I69:I132" ca="1" si="42">SQRT(vit_x^2+vit_z^2)</f>
        <v>41.171419813290029</v>
      </c>
      <c r="J69" s="306">
        <f t="shared" ref="J69:J132" ca="1" si="43">J68+0.5*(vit_x+G68)*pas*(K68&gt;=0)</f>
        <v>3.3495486727906938</v>
      </c>
      <c r="K69" s="307">
        <f t="shared" ref="K69:K132" ca="1" si="44">K68+0.5*(vit_z+H68)*pas</f>
        <v>12.09276686092384</v>
      </c>
      <c r="L69" s="304">
        <f t="shared" ca="1" si="29"/>
        <v>12.548086972285923</v>
      </c>
      <c r="M69" s="306">
        <f t="shared" ref="M69:M132" ca="1" si="45">IF(AND(L68&gt;L_rampe,G69&gt;0),ATAN2(G69,H69),$M$4)</f>
        <v>1.2874659538223689</v>
      </c>
      <c r="N69" s="304">
        <f t="shared" ref="N69:N132" ca="1" si="46">DEGREES(Beta)</f>
        <v>73.766365420806679</v>
      </c>
      <c r="P69" s="310">
        <f t="shared" ref="P69:P132" ca="1" si="47">MATCH(t-pas/2-T_ini,CdP_t)</f>
        <v>5</v>
      </c>
      <c r="Q69" s="304">
        <f t="shared" ref="Q69:Q132" ca="1" si="48">(INDEX(CdP,2,i_P+1)-INDEX(CdP,2,i_P+0))/(INDEX(CdP,1,i_P+1)-INDEX(CdP,1,i_P+0))*(t-pas/2-T_ini-INDEX(CdP,1,i_P+0))+INDEX(CdP,2,i_P+0)</f>
        <v>1817.0348571428572</v>
      </c>
      <c r="R69" s="306">
        <f t="shared" ref="R69:R132" ca="1" si="49">Poussee/(g*ISP)</f>
        <v>1.0927177686459739</v>
      </c>
      <c r="S69" s="307">
        <f t="shared" ref="S69:S132" ca="1" si="50">S68-Débit*pas</f>
        <v>23.007820122941641</v>
      </c>
      <c r="T69" s="304">
        <f t="shared" ca="1" si="30"/>
        <v>225.70671540605753</v>
      </c>
      <c r="U69" s="311">
        <f t="shared" ca="1" si="31"/>
        <v>0</v>
      </c>
      <c r="V69" s="306">
        <f t="shared" ca="1" si="32"/>
        <v>1.2235195312077343</v>
      </c>
      <c r="W69" s="304">
        <f t="shared" ca="1" si="33"/>
        <v>12.090082173435965</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12.09276686092384</v>
      </c>
      <c r="AG69" s="306">
        <f t="shared" ref="AG69:AG132" ca="1" si="56">IF(AND(L68&lt;L_rampe,Poussee&lt;Poids*SIN(M68)),0,(-W68+Poussee)/m-Poids*SIN(M68)/m)</f>
        <v>69.045950777766748</v>
      </c>
      <c r="AH69" s="304">
        <f t="shared" ref="AH69:AH132" ca="1" si="57">IF(AND(L68&lt;L_rampe,Poussee&lt;Poids*SIN(M68)), g*SIN(M68), (-W68+Poussee)/m)</f>
        <v>78.46664404284752</v>
      </c>
    </row>
    <row r="70" spans="1:34" x14ac:dyDescent="0.2">
      <c r="A70" s="347">
        <f t="shared" ca="1" si="35"/>
        <v>0.01</v>
      </c>
      <c r="B70" s="304">
        <f t="shared" ca="1" si="36"/>
        <v>0.66000000000000036</v>
      </c>
      <c r="D70" s="306">
        <f t="shared" ca="1" si="37"/>
        <v>21.955695001743848</v>
      </c>
      <c r="E70" s="307">
        <f t="shared" ca="1" si="38"/>
        <v>65.596743401534127</v>
      </c>
      <c r="F70" s="304">
        <f t="shared" ca="1" si="39"/>
        <v>69.173588080251477</v>
      </c>
      <c r="G70" s="306">
        <f t="shared" ca="1" si="40"/>
        <v>11.729224286763316</v>
      </c>
      <c r="H70" s="307">
        <f t="shared" ca="1" si="41"/>
        <v>40.18587215486707</v>
      </c>
      <c r="I70" s="304">
        <f t="shared" ca="1" si="42"/>
        <v>41.86262083549618</v>
      </c>
      <c r="J70" s="306">
        <f t="shared" ca="1" si="43"/>
        <v>3.4657431309082396</v>
      </c>
      <c r="K70" s="307">
        <f t="shared" ca="1" si="44"/>
        <v>12.491345745302434</v>
      </c>
      <c r="L70" s="304">
        <f t="shared" ca="1" si="29"/>
        <v>12.963220818073063</v>
      </c>
      <c r="M70" s="306">
        <f t="shared" ca="1" si="45"/>
        <v>1.2868108508775808</v>
      </c>
      <c r="N70" s="304">
        <f t="shared" ca="1" si="46"/>
        <v>73.728830786923723</v>
      </c>
      <c r="P70" s="310">
        <f t="shared" ca="1" si="47"/>
        <v>5</v>
      </c>
      <c r="Q70" s="304">
        <f t="shared" ca="1" si="48"/>
        <v>1818.2212640692642</v>
      </c>
      <c r="R70" s="306">
        <f t="shared" ca="1" si="49"/>
        <v>1.0934312430871678</v>
      </c>
      <c r="S70" s="307">
        <f t="shared" ca="1" si="50"/>
        <v>22.996885810510769</v>
      </c>
      <c r="T70" s="304">
        <f t="shared" ca="1" si="30"/>
        <v>225.59944980111064</v>
      </c>
      <c r="U70" s="311">
        <f t="shared" ca="1" si="31"/>
        <v>0</v>
      </c>
      <c r="V70" s="306">
        <f t="shared" ca="1" si="32"/>
        <v>1.2234707652561958</v>
      </c>
      <c r="W70" s="304">
        <f t="shared" ca="1" si="33"/>
        <v>12.498937105598575</v>
      </c>
      <c r="Y70" s="314" t="str">
        <f t="shared" ca="1" si="51"/>
        <v/>
      </c>
      <c r="Z70" s="315" t="str">
        <f t="shared" ca="1" si="52"/>
        <v/>
      </c>
      <c r="AA70" s="316" t="str">
        <f t="shared" ca="1" si="53"/>
        <v/>
      </c>
      <c r="AC70" s="310" t="e">
        <f t="shared" ca="1" si="54"/>
        <v>#N/A</v>
      </c>
      <c r="AD70" s="323" t="e">
        <f t="shared" ca="1" si="55"/>
        <v>#N/A</v>
      </c>
      <c r="AE70" s="324">
        <f t="shared" ca="1" si="34"/>
        <v>12.491345745302434</v>
      </c>
      <c r="AG70" s="306">
        <f t="shared" ca="1" si="56"/>
        <v>69.119203932805192</v>
      </c>
      <c r="AH70" s="304">
        <f t="shared" ca="1" si="57"/>
        <v>78.538076710818501</v>
      </c>
    </row>
    <row r="71" spans="1:34" x14ac:dyDescent="0.2">
      <c r="A71" s="347">
        <f t="shared" ca="1" si="35"/>
        <v>0.01</v>
      </c>
      <c r="B71" s="304">
        <f t="shared" ca="1" si="36"/>
        <v>0.67000000000000037</v>
      </c>
      <c r="D71" s="306">
        <f t="shared" ca="1" si="37"/>
        <v>22.025041873915626</v>
      </c>
      <c r="E71" s="307">
        <f t="shared" ca="1" si="38"/>
        <v>65.650703564993364</v>
      </c>
      <c r="F71" s="304">
        <f t="shared" ca="1" si="39"/>
        <v>69.246785832458457</v>
      </c>
      <c r="G71" s="306">
        <f t="shared" ca="1" si="40"/>
        <v>11.949474705502471</v>
      </c>
      <c r="H71" s="307">
        <f t="shared" ca="1" si="41"/>
        <v>40.842379190517001</v>
      </c>
      <c r="I71" s="304">
        <f t="shared" ca="1" si="42"/>
        <v>42.554551856169503</v>
      </c>
      <c r="J71" s="306">
        <f t="shared" ca="1" si="43"/>
        <v>3.5841366258695686</v>
      </c>
      <c r="K71" s="307">
        <f t="shared" ca="1" si="44"/>
        <v>12.896487002029355</v>
      </c>
      <c r="L71" s="304">
        <f t="shared" ca="1" si="29"/>
        <v>13.385268482417967</v>
      </c>
      <c r="M71" s="306">
        <f t="shared" ca="1" si="45"/>
        <v>1.2861649499724987</v>
      </c>
      <c r="N71" s="304">
        <f t="shared" ca="1" si="46"/>
        <v>73.691823391078842</v>
      </c>
      <c r="P71" s="310">
        <f t="shared" ca="1" si="47"/>
        <v>5</v>
      </c>
      <c r="Q71" s="304">
        <f t="shared" ca="1" si="48"/>
        <v>1819.4076709956712</v>
      </c>
      <c r="R71" s="306">
        <f t="shared" ca="1" si="49"/>
        <v>1.0941447175283616</v>
      </c>
      <c r="S71" s="307">
        <f t="shared" ca="1" si="50"/>
        <v>22.985944363335484</v>
      </c>
      <c r="T71" s="304">
        <f t="shared" ca="1" si="30"/>
        <v>225.49211420432113</v>
      </c>
      <c r="U71" s="311">
        <f t="shared" ca="1" si="31"/>
        <v>0</v>
      </c>
      <c r="V71" s="306">
        <f t="shared" ca="1" si="32"/>
        <v>1.2234211983919725</v>
      </c>
      <c r="W71" s="304">
        <f t="shared" ca="1" si="33"/>
        <v>12.915008667644679</v>
      </c>
      <c r="Y71" s="314" t="str">
        <f t="shared" ca="1" si="51"/>
        <v/>
      </c>
      <c r="Z71" s="315" t="str">
        <f t="shared" ca="1" si="52"/>
        <v/>
      </c>
      <c r="AA71" s="316" t="str">
        <f t="shared" ca="1" si="53"/>
        <v/>
      </c>
      <c r="AC71" s="310" t="e">
        <f t="shared" ca="1" si="54"/>
        <v>#N/A</v>
      </c>
      <c r="AD71" s="323" t="e">
        <f t="shared" ca="1" si="55"/>
        <v>#N/A</v>
      </c>
      <c r="AE71" s="324">
        <f t="shared" ca="1" si="34"/>
        <v>12.896487002029355</v>
      </c>
      <c r="AG71" s="306">
        <f t="shared" ca="1" si="56"/>
        <v>69.192214404988945</v>
      </c>
      <c r="AH71" s="304">
        <f t="shared" ca="1" si="57"/>
        <v>78.609288586473923</v>
      </c>
    </row>
    <row r="72" spans="1:34" x14ac:dyDescent="0.2">
      <c r="A72" s="347">
        <f t="shared" ca="1" si="35"/>
        <v>0.01</v>
      </c>
      <c r="B72" s="304">
        <f t="shared" ca="1" si="36"/>
        <v>0.68000000000000038</v>
      </c>
      <c r="D72" s="306">
        <f t="shared" ca="1" si="37"/>
        <v>22.093711674054443</v>
      </c>
      <c r="E72" s="307">
        <f t="shared" ca="1" si="38"/>
        <v>65.70459559156744</v>
      </c>
      <c r="F72" s="304">
        <f t="shared" ca="1" si="39"/>
        <v>69.319737285910662</v>
      </c>
      <c r="G72" s="306">
        <f t="shared" ca="1" si="40"/>
        <v>12.170411822243015</v>
      </c>
      <c r="H72" s="307">
        <f t="shared" ca="1" si="41"/>
        <v>41.499425146432678</v>
      </c>
      <c r="I72" s="304">
        <f t="shared" ca="1" si="42"/>
        <v>43.2472104465405</v>
      </c>
      <c r="J72" s="306">
        <f t="shared" ca="1" si="43"/>
        <v>3.704736058508296</v>
      </c>
      <c r="K72" s="307">
        <f t="shared" ca="1" si="44"/>
        <v>13.308196023714103</v>
      </c>
      <c r="L72" s="304">
        <f t="shared" ca="1" si="29"/>
        <v>13.814237245277477</v>
      </c>
      <c r="M72" s="306">
        <f t="shared" ca="1" si="45"/>
        <v>1.2855279876700489</v>
      </c>
      <c r="N72" s="304">
        <f t="shared" ca="1" si="46"/>
        <v>73.655328139439533</v>
      </c>
      <c r="P72" s="310">
        <f t="shared" ca="1" si="47"/>
        <v>5</v>
      </c>
      <c r="Q72" s="304">
        <f t="shared" ca="1" si="48"/>
        <v>1820.594077922078</v>
      </c>
      <c r="R72" s="306">
        <f t="shared" ca="1" si="49"/>
        <v>1.0948581919695553</v>
      </c>
      <c r="S72" s="307">
        <f t="shared" ca="1" si="50"/>
        <v>22.974995781415789</v>
      </c>
      <c r="T72" s="304">
        <f t="shared" ca="1" si="30"/>
        <v>225.38470861568891</v>
      </c>
      <c r="U72" s="311">
        <f t="shared" ca="1" si="31"/>
        <v>0</v>
      </c>
      <c r="V72" s="306">
        <f t="shared" ca="1" si="32"/>
        <v>1.2233708300527459</v>
      </c>
      <c r="W72" s="304">
        <f t="shared" ca="1" si="33"/>
        <v>13.338315268288973</v>
      </c>
      <c r="Y72" s="314" t="str">
        <f t="shared" ca="1" si="51"/>
        <v/>
      </c>
      <c r="Z72" s="315" t="str">
        <f t="shared" ca="1" si="52"/>
        <v/>
      </c>
      <c r="AA72" s="316" t="str">
        <f t="shared" ca="1" si="53"/>
        <v/>
      </c>
      <c r="AC72" s="310" t="e">
        <f t="shared" ca="1" si="54"/>
        <v>#N/A</v>
      </c>
      <c r="AD72" s="323" t="e">
        <f t="shared" ca="1" si="55"/>
        <v>#N/A</v>
      </c>
      <c r="AE72" s="324">
        <f t="shared" ca="1" si="34"/>
        <v>13.308196023714103</v>
      </c>
      <c r="AG72" s="306">
        <f t="shared" ca="1" si="56"/>
        <v>69.264981722109638</v>
      </c>
      <c r="AH72" s="304">
        <f t="shared" ca="1" si="57"/>
        <v>78.680278614747081</v>
      </c>
    </row>
    <row r="73" spans="1:34" x14ac:dyDescent="0.2">
      <c r="A73" s="347">
        <f t="shared" ca="1" si="35"/>
        <v>0.01</v>
      </c>
      <c r="B73" s="304">
        <f t="shared" ca="1" si="36"/>
        <v>0.69000000000000039</v>
      </c>
      <c r="D73" s="306">
        <f t="shared" ca="1" si="37"/>
        <v>22.265874398171885</v>
      </c>
      <c r="E73" s="307">
        <f t="shared" ca="1" si="38"/>
        <v>66.113559646357814</v>
      </c>
      <c r="F73" s="304">
        <f t="shared" ca="1" si="39"/>
        <v>69.762252915367341</v>
      </c>
      <c r="G73" s="306">
        <f t="shared" ca="1" si="40"/>
        <v>12.393070566224733</v>
      </c>
      <c r="H73" s="307">
        <f t="shared" ca="1" si="41"/>
        <v>42.160560742896259</v>
      </c>
      <c r="I73" s="304">
        <f t="shared" ca="1" si="42"/>
        <v>43.944295195336458</v>
      </c>
      <c r="J73" s="306">
        <f t="shared" ca="1" si="43"/>
        <v>3.8275534704506349</v>
      </c>
      <c r="K73" s="307">
        <f t="shared" ca="1" si="44"/>
        <v>13.726495953160748</v>
      </c>
      <c r="L73" s="304">
        <f t="shared" ca="1" si="29"/>
        <v>14.250152866593996</v>
      </c>
      <c r="M73" s="306">
        <f t="shared" ca="1" si="45"/>
        <v>1.2848997648513492</v>
      </c>
      <c r="N73" s="304">
        <f t="shared" ca="1" si="46"/>
        <v>73.619333623334228</v>
      </c>
      <c r="P73" s="310">
        <f t="shared" ca="1" si="47"/>
        <v>6</v>
      </c>
      <c r="Q73" s="304">
        <f t="shared" ca="1" si="48"/>
        <v>1830.2754875000005</v>
      </c>
      <c r="R73" s="306">
        <f t="shared" ca="1" si="49"/>
        <v>1.1006803412969324</v>
      </c>
      <c r="S73" s="307">
        <f t="shared" ca="1" si="50"/>
        <v>22.963988978002821</v>
      </c>
      <c r="T73" s="304">
        <f t="shared" ca="1" si="30"/>
        <v>225.27673187420768</v>
      </c>
      <c r="U73" s="311">
        <f t="shared" ca="1" si="31"/>
        <v>0</v>
      </c>
      <c r="V73" s="306">
        <f t="shared" ca="1" si="32"/>
        <v>1.2233196575064598</v>
      </c>
      <c r="W73" s="304">
        <f t="shared" ca="1" si="33"/>
        <v>13.771194726390979</v>
      </c>
      <c r="Y73" s="314" t="str">
        <f t="shared" ca="1" si="51"/>
        <v/>
      </c>
      <c r="Z73" s="315" t="str">
        <f t="shared" ca="1" si="52"/>
        <v/>
      </c>
      <c r="AA73" s="316" t="str">
        <f t="shared" ca="1" si="53"/>
        <v/>
      </c>
      <c r="AC73" s="310" t="e">
        <f t="shared" ca="1" si="54"/>
        <v>#N/A</v>
      </c>
      <c r="AD73" s="323" t="e">
        <f t="shared" ca="1" si="55"/>
        <v>#N/A</v>
      </c>
      <c r="AE73" s="324">
        <f t="shared" ca="1" si="34"/>
        <v>13.726495953160748</v>
      </c>
      <c r="AG73" s="306">
        <f t="shared" ca="1" si="56"/>
        <v>69.707607718256469</v>
      </c>
      <c r="AH73" s="304">
        <f t="shared" ca="1" si="57"/>
        <v>79.121148071101828</v>
      </c>
    </row>
    <row r="74" spans="1:34" x14ac:dyDescent="0.2">
      <c r="A74" s="347">
        <f t="shared" ca="1" si="35"/>
        <v>0.01</v>
      </c>
      <c r="B74" s="304">
        <f t="shared" ca="1" si="36"/>
        <v>0.7000000000000004</v>
      </c>
      <c r="D74" s="306">
        <f t="shared" ca="1" si="37"/>
        <v>22.482712607499455</v>
      </c>
      <c r="E74" s="307">
        <f t="shared" ca="1" si="38"/>
        <v>66.674981303734455</v>
      </c>
      <c r="F74" s="304">
        <f t="shared" ca="1" si="39"/>
        <v>70.363523917188473</v>
      </c>
      <c r="G74" s="306">
        <f t="shared" ca="1" si="40"/>
        <v>12.617897692299728</v>
      </c>
      <c r="H74" s="307">
        <f t="shared" ca="1" si="41"/>
        <v>42.8273105559336</v>
      </c>
      <c r="I74" s="304">
        <f t="shared" ca="1" si="42"/>
        <v>44.64739490303689</v>
      </c>
      <c r="J74" s="306">
        <f t="shared" ca="1" si="43"/>
        <v>3.9526083117432571</v>
      </c>
      <c r="K74" s="307">
        <f t="shared" ca="1" si="44"/>
        <v>14.151435309654898</v>
      </c>
      <c r="L74" s="304">
        <f t="shared" ca="1" si="29"/>
        <v>14.693067541851475</v>
      </c>
      <c r="M74" s="306">
        <f t="shared" ca="1" si="45"/>
        <v>1.2842801107468933</v>
      </c>
      <c r="N74" s="304">
        <f t="shared" ca="1" si="46"/>
        <v>73.583830058390944</v>
      </c>
      <c r="P74" s="310">
        <f t="shared" ca="1" si="47"/>
        <v>6</v>
      </c>
      <c r="Q74" s="304">
        <f t="shared" ca="1" si="48"/>
        <v>1843.5976125000004</v>
      </c>
      <c r="R74" s="306">
        <f t="shared" ca="1" si="49"/>
        <v>1.1086919227183878</v>
      </c>
      <c r="S74" s="307">
        <f t="shared" ca="1" si="50"/>
        <v>22.952902058775635</v>
      </c>
      <c r="T74" s="304">
        <f t="shared" ca="1" si="30"/>
        <v>225.16796919658898</v>
      </c>
      <c r="U74" s="311">
        <f t="shared" ca="1" si="31"/>
        <v>0</v>
      </c>
      <c r="V74" s="306">
        <f t="shared" ca="1" si="32"/>
        <v>1.2232676749188836</v>
      </c>
      <c r="W74" s="304">
        <f t="shared" ca="1" si="33"/>
        <v>14.214788587159534</v>
      </c>
      <c r="Y74" s="314" t="str">
        <f t="shared" ca="1" si="51"/>
        <v/>
      </c>
      <c r="Z74" s="315" t="str">
        <f t="shared" ca="1" si="52"/>
        <v/>
      </c>
      <c r="AA74" s="316" t="str">
        <f t="shared" ca="1" si="53"/>
        <v/>
      </c>
      <c r="AC74" s="310" t="e">
        <f t="shared" ca="1" si="54"/>
        <v>#N/A</v>
      </c>
      <c r="AD74" s="323" t="e">
        <f t="shared" ca="1" si="55"/>
        <v>#N/A</v>
      </c>
      <c r="AE74" s="324">
        <f t="shared" ca="1" si="34"/>
        <v>14.151435309654898</v>
      </c>
      <c r="AG74" s="306">
        <f t="shared" ca="1" si="56"/>
        <v>70.309113604360405</v>
      </c>
      <c r="AH74" s="304">
        <f t="shared" ca="1" si="57"/>
        <v>79.720917777105555</v>
      </c>
    </row>
    <row r="75" spans="1:34" x14ac:dyDescent="0.2">
      <c r="A75" s="347">
        <f t="shared" ca="1" si="35"/>
        <v>0.01</v>
      </c>
      <c r="B75" s="304">
        <f t="shared" ca="1" si="36"/>
        <v>0.71000000000000041</v>
      </c>
      <c r="D75" s="306">
        <f t="shared" ca="1" si="37"/>
        <v>22.699715857532002</v>
      </c>
      <c r="E75" s="307">
        <f t="shared" ca="1" si="38"/>
        <v>67.236731893796758</v>
      </c>
      <c r="F75" s="304">
        <f t="shared" ca="1" si="39"/>
        <v>70.965169032216053</v>
      </c>
      <c r="G75" s="306">
        <f t="shared" ca="1" si="40"/>
        <v>12.844894850875049</v>
      </c>
      <c r="H75" s="307">
        <f t="shared" ca="1" si="41"/>
        <v>43.499677874871566</v>
      </c>
      <c r="I75" s="304">
        <f t="shared" ca="1" si="42"/>
        <v>45.356513302365151</v>
      </c>
      <c r="J75" s="306">
        <f t="shared" ca="1" si="43"/>
        <v>4.0799222744591308</v>
      </c>
      <c r="K75" s="307">
        <f t="shared" ca="1" si="44"/>
        <v>14.583070251808925</v>
      </c>
      <c r="L75" s="304">
        <f t="shared" ca="1" si="29"/>
        <v>15.143041429475858</v>
      </c>
      <c r="M75" s="306">
        <f t="shared" ca="1" si="45"/>
        <v>1.2836688588062575</v>
      </c>
      <c r="N75" s="304">
        <f t="shared" ca="1" si="46"/>
        <v>73.548807901973333</v>
      </c>
      <c r="P75" s="310">
        <f t="shared" ca="1" si="47"/>
        <v>6</v>
      </c>
      <c r="Q75" s="304">
        <f t="shared" ca="1" si="48"/>
        <v>1856.9197375000006</v>
      </c>
      <c r="R75" s="306">
        <f t="shared" ca="1" si="49"/>
        <v>1.1167035041398434</v>
      </c>
      <c r="S75" s="307">
        <f t="shared" ca="1" si="50"/>
        <v>22.941735023734235</v>
      </c>
      <c r="T75" s="304">
        <f t="shared" ca="1" si="30"/>
        <v>225.05842058283287</v>
      </c>
      <c r="U75" s="311">
        <f t="shared" ca="1" si="31"/>
        <v>0</v>
      </c>
      <c r="V75" s="306">
        <f t="shared" ca="1" si="32"/>
        <v>1.2232148755239356</v>
      </c>
      <c r="W75" s="304">
        <f t="shared" ca="1" si="33"/>
        <v>14.669277867990141</v>
      </c>
      <c r="Y75" s="314" t="str">
        <f t="shared" ca="1" si="51"/>
        <v/>
      </c>
      <c r="Z75" s="315" t="str">
        <f t="shared" ca="1" si="52"/>
        <v/>
      </c>
      <c r="AA75" s="316" t="str">
        <f t="shared" ca="1" si="53"/>
        <v/>
      </c>
      <c r="AC75" s="310" t="e">
        <f t="shared" ca="1" si="54"/>
        <v>#N/A</v>
      </c>
      <c r="AD75" s="323" t="e">
        <f t="shared" ca="1" si="55"/>
        <v>#N/A</v>
      </c>
      <c r="AE75" s="324">
        <f t="shared" ca="1" si="34"/>
        <v>14.583070251808925</v>
      </c>
      <c r="AG75" s="306">
        <f t="shared" ca="1" si="56"/>
        <v>70.910992607565177</v>
      </c>
      <c r="AH75" s="304">
        <f t="shared" ca="1" si="57"/>
        <v>80.321080642178174</v>
      </c>
    </row>
    <row r="76" spans="1:34" x14ac:dyDescent="0.2">
      <c r="A76" s="347">
        <f t="shared" ca="1" si="35"/>
        <v>0.01</v>
      </c>
      <c r="B76" s="304">
        <f t="shared" ca="1" si="36"/>
        <v>0.72000000000000042</v>
      </c>
      <c r="D76" s="306">
        <f t="shared" ca="1" si="37"/>
        <v>22.916882829842294</v>
      </c>
      <c r="E76" s="307">
        <f t="shared" ca="1" si="38"/>
        <v>67.798811326813095</v>
      </c>
      <c r="F76" s="304">
        <f t="shared" ca="1" si="39"/>
        <v>71.56718756501138</v>
      </c>
      <c r="G76" s="306">
        <f t="shared" ca="1" si="40"/>
        <v>13.074063679173472</v>
      </c>
      <c r="H76" s="307">
        <f t="shared" ca="1" si="41"/>
        <v>44.177665988139694</v>
      </c>
      <c r="I76" s="304">
        <f t="shared" ca="1" si="42"/>
        <v>46.071654118847498</v>
      </c>
      <c r="J76" s="306">
        <f t="shared" ca="1" si="43"/>
        <v>4.2095170671093731</v>
      </c>
      <c r="K76" s="307">
        <f t="shared" ca="1" si="44"/>
        <v>15.021456971123982</v>
      </c>
      <c r="L76" s="304">
        <f t="shared" ca="1" si="29"/>
        <v>15.600134726136643</v>
      </c>
      <c r="M76" s="306">
        <f t="shared" ca="1" si="45"/>
        <v>1.2830658465761131</v>
      </c>
      <c r="N76" s="304">
        <f t="shared" ca="1" si="46"/>
        <v>73.514257846191285</v>
      </c>
      <c r="P76" s="310">
        <f t="shared" ca="1" si="47"/>
        <v>6</v>
      </c>
      <c r="Q76" s="304">
        <f t="shared" ca="1" si="48"/>
        <v>1870.2418625000005</v>
      </c>
      <c r="R76" s="306">
        <f t="shared" ca="1" si="49"/>
        <v>1.1247150855612988</v>
      </c>
      <c r="S76" s="307">
        <f t="shared" ca="1" si="50"/>
        <v>22.930487872878622</v>
      </c>
      <c r="T76" s="304">
        <f t="shared" ca="1" si="30"/>
        <v>224.9480860329393</v>
      </c>
      <c r="U76" s="311">
        <f t="shared" ca="1" si="31"/>
        <v>0</v>
      </c>
      <c r="V76" s="306">
        <f t="shared" ca="1" si="32"/>
        <v>1.2231612525543192</v>
      </c>
      <c r="W76" s="304">
        <f t="shared" ca="1" si="33"/>
        <v>15.134845196441789</v>
      </c>
      <c r="Y76" s="314" t="str">
        <f t="shared" ca="1" si="51"/>
        <v/>
      </c>
      <c r="Z76" s="315" t="str">
        <f t="shared" ca="1" si="52"/>
        <v/>
      </c>
      <c r="AA76" s="316" t="str">
        <f t="shared" ca="1" si="53"/>
        <v/>
      </c>
      <c r="AC76" s="310" t="e">
        <f t="shared" ca="1" si="54"/>
        <v>#N/A</v>
      </c>
      <c r="AD76" s="323" t="e">
        <f t="shared" ca="1" si="55"/>
        <v>#N/A</v>
      </c>
      <c r="AE76" s="324">
        <f t="shared" ca="1" si="34"/>
        <v>15.021456971123982</v>
      </c>
      <c r="AG76" s="306">
        <f t="shared" ca="1" si="56"/>
        <v>71.513244010878836</v>
      </c>
      <c r="AH76" s="304">
        <f t="shared" ca="1" si="57"/>
        <v>80.921635637186625</v>
      </c>
    </row>
    <row r="77" spans="1:34" x14ac:dyDescent="0.2">
      <c r="A77" s="347">
        <f t="shared" ca="1" si="35"/>
        <v>0.01</v>
      </c>
      <c r="B77" s="304">
        <f t="shared" ca="1" si="36"/>
        <v>0.73000000000000043</v>
      </c>
      <c r="D77" s="306">
        <f t="shared" ca="1" si="37"/>
        <v>23.134212226917185</v>
      </c>
      <c r="E77" s="307">
        <f t="shared" ca="1" si="38"/>
        <v>68.361219426406777</v>
      </c>
      <c r="F77" s="304">
        <f t="shared" ca="1" si="39"/>
        <v>72.169578749119637</v>
      </c>
      <c r="G77" s="306">
        <f t="shared" ca="1" si="40"/>
        <v>13.305405801442644</v>
      </c>
      <c r="H77" s="307">
        <f t="shared" ca="1" si="41"/>
        <v>44.861278182403758</v>
      </c>
      <c r="I77" s="304">
        <f t="shared" ca="1" si="42"/>
        <v>46.792821070118002</v>
      </c>
      <c r="J77" s="306">
        <f t="shared" ca="1" si="43"/>
        <v>4.341414414512454</v>
      </c>
      <c r="K77" s="307">
        <f t="shared" ca="1" si="44"/>
        <v>15.466651691976699</v>
      </c>
      <c r="L77" s="304">
        <f t="shared" ca="1" si="29"/>
        <v>16.064407666623197</v>
      </c>
      <c r="M77" s="306">
        <f t="shared" ca="1" si="45"/>
        <v>1.2824709155820804</v>
      </c>
      <c r="N77" s="304">
        <f t="shared" ca="1" si="46"/>
        <v>73.480170811131686</v>
      </c>
      <c r="P77" s="310">
        <f t="shared" ca="1" si="47"/>
        <v>6</v>
      </c>
      <c r="Q77" s="304">
        <f t="shared" ca="1" si="48"/>
        <v>1883.5639875000006</v>
      </c>
      <c r="R77" s="306">
        <f t="shared" ca="1" si="49"/>
        <v>1.1327266669827545</v>
      </c>
      <c r="S77" s="307">
        <f t="shared" ca="1" si="50"/>
        <v>22.919160606208795</v>
      </c>
      <c r="T77" s="304">
        <f t="shared" ca="1" si="30"/>
        <v>224.83696554690829</v>
      </c>
      <c r="U77" s="311">
        <f t="shared" ca="1" si="31"/>
        <v>0</v>
      </c>
      <c r="V77" s="306">
        <f t="shared" ca="1" si="32"/>
        <v>1.2231067992415687</v>
      </c>
      <c r="W77" s="304">
        <f t="shared" ca="1" si="33"/>
        <v>15.611674810388795</v>
      </c>
      <c r="Y77" s="314" t="str">
        <f t="shared" ca="1" si="51"/>
        <v/>
      </c>
      <c r="Z77" s="315" t="str">
        <f t="shared" ca="1" si="52"/>
        <v/>
      </c>
      <c r="AA77" s="316" t="str">
        <f t="shared" ca="1" si="53"/>
        <v/>
      </c>
      <c r="AC77" s="310" t="e">
        <f t="shared" ca="1" si="54"/>
        <v>#N/A</v>
      </c>
      <c r="AD77" s="323" t="e">
        <f t="shared" ca="1" si="55"/>
        <v>#N/A</v>
      </c>
      <c r="AE77" s="324">
        <f t="shared" ca="1" si="34"/>
        <v>15.466651691976699</v>
      </c>
      <c r="AG77" s="306">
        <f t="shared" ca="1" si="56"/>
        <v>72.115867027764267</v>
      </c>
      <c r="AH77" s="304">
        <f t="shared" ca="1" si="57"/>
        <v>81.522581668955269</v>
      </c>
    </row>
    <row r="78" spans="1:34" x14ac:dyDescent="0.2">
      <c r="A78" s="347">
        <f t="shared" ca="1" si="35"/>
        <v>0.01</v>
      </c>
      <c r="B78" s="304">
        <f t="shared" ca="1" si="36"/>
        <v>0.74000000000000044</v>
      </c>
      <c r="D78" s="306">
        <f t="shared" ca="1" si="37"/>
        <v>23.351702770166465</v>
      </c>
      <c r="E78" s="307">
        <f t="shared" ca="1" si="38"/>
        <v>68.923955930277657</v>
      </c>
      <c r="F78" s="304">
        <f t="shared" ca="1" si="39"/>
        <v>72.772341747019908</v>
      </c>
      <c r="G78" s="306">
        <f t="shared" ca="1" si="40"/>
        <v>13.538922829144308</v>
      </c>
      <c r="H78" s="307">
        <f t="shared" ca="1" si="41"/>
        <v>45.550517741706535</v>
      </c>
      <c r="I78" s="304">
        <f t="shared" ca="1" si="42"/>
        <v>47.5200178652223</v>
      </c>
      <c r="J78" s="306">
        <f t="shared" ca="1" si="43"/>
        <v>4.4756360576653886</v>
      </c>
      <c r="K78" s="307">
        <f t="shared" ca="1" si="44"/>
        <v>15.91871067159725</v>
      </c>
      <c r="L78" s="304">
        <f t="shared" ca="1" si="29"/>
        <v>16.535920523717412</v>
      </c>
      <c r="M78" s="306">
        <f t="shared" ca="1" si="45"/>
        <v>1.2818839112143066</v>
      </c>
      <c r="N78" s="304">
        <f t="shared" ca="1" si="46"/>
        <v>73.446537938302498</v>
      </c>
      <c r="P78" s="310">
        <f t="shared" ca="1" si="47"/>
        <v>6</v>
      </c>
      <c r="Q78" s="304">
        <f t="shared" ca="1" si="48"/>
        <v>1896.8861125000005</v>
      </c>
      <c r="R78" s="306">
        <f t="shared" ca="1" si="49"/>
        <v>1.1407382484042099</v>
      </c>
      <c r="S78" s="307">
        <f t="shared" ca="1" si="50"/>
        <v>22.907753223724754</v>
      </c>
      <c r="T78" s="304">
        <f t="shared" ca="1" si="30"/>
        <v>224.72505912473986</v>
      </c>
      <c r="U78" s="311">
        <f t="shared" ca="1" si="31"/>
        <v>0</v>
      </c>
      <c r="V78" s="306">
        <f t="shared" ca="1" si="32"/>
        <v>1.2230515088160996</v>
      </c>
      <c r="W78" s="304">
        <f t="shared" ca="1" si="33"/>
        <v>16.099952558082979</v>
      </c>
      <c r="Y78" s="314" t="str">
        <f t="shared" ca="1" si="51"/>
        <v/>
      </c>
      <c r="Z78" s="315" t="str">
        <f t="shared" ca="1" si="52"/>
        <v/>
      </c>
      <c r="AA78" s="316" t="str">
        <f t="shared" ca="1" si="53"/>
        <v/>
      </c>
      <c r="AC78" s="310" t="e">
        <f t="shared" ca="1" si="54"/>
        <v>#N/A</v>
      </c>
      <c r="AD78" s="323" t="e">
        <f t="shared" ca="1" si="55"/>
        <v>#N/A</v>
      </c>
      <c r="AE78" s="324">
        <f t="shared" ca="1" si="34"/>
        <v>15.91871067159725</v>
      </c>
      <c r="AG78" s="306">
        <f t="shared" ca="1" si="56"/>
        <v>72.718860802018312</v>
      </c>
      <c r="AH78" s="304">
        <f t="shared" ca="1" si="57"/>
        <v>82.123917580063761</v>
      </c>
    </row>
    <row r="79" spans="1:34" x14ac:dyDescent="0.2">
      <c r="A79" s="347">
        <f t="shared" ca="1" si="35"/>
        <v>0.01</v>
      </c>
      <c r="B79" s="304">
        <f t="shared" ca="1" si="36"/>
        <v>0.75000000000000044</v>
      </c>
      <c r="D79" s="306">
        <f t="shared" ca="1" si="37"/>
        <v>23.569353198025617</v>
      </c>
      <c r="E79" s="307">
        <f t="shared" ca="1" si="38"/>
        <v>69.487020490888469</v>
      </c>
      <c r="F79" s="304">
        <f t="shared" ca="1" si="39"/>
        <v>73.375475650072858</v>
      </c>
      <c r="G79" s="306">
        <f t="shared" ca="1" si="40"/>
        <v>13.774616361124565</v>
      </c>
      <c r="H79" s="307">
        <f t="shared" ca="1" si="41"/>
        <v>46.245387946615423</v>
      </c>
      <c r="I79" s="304">
        <f t="shared" ca="1" si="42"/>
        <v>48.253248203920151</v>
      </c>
      <c r="J79" s="306">
        <f t="shared" ca="1" si="43"/>
        <v>4.6122037536167326</v>
      </c>
      <c r="K79" s="307">
        <f t="shared" ca="1" si="44"/>
        <v>16.37769020003886</v>
      </c>
      <c r="L79" s="304">
        <f t="shared" ca="1" si="29"/>
        <v>17.014733608062311</v>
      </c>
      <c r="M79" s="306">
        <f t="shared" ca="1" si="45"/>
        <v>1.2813046826166492</v>
      </c>
      <c r="N79" s="304">
        <f t="shared" ca="1" si="46"/>
        <v>73.413350584283464</v>
      </c>
      <c r="P79" s="310">
        <f t="shared" ca="1" si="47"/>
        <v>6</v>
      </c>
      <c r="Q79" s="304">
        <f t="shared" ca="1" si="48"/>
        <v>1910.2082375000007</v>
      </c>
      <c r="R79" s="306">
        <f t="shared" ca="1" si="49"/>
        <v>1.1487498298256655</v>
      </c>
      <c r="S79" s="307">
        <f t="shared" ca="1" si="50"/>
        <v>22.896265725426499</v>
      </c>
      <c r="T79" s="304">
        <f t="shared" ca="1" si="30"/>
        <v>224.61236676643398</v>
      </c>
      <c r="U79" s="311">
        <f t="shared" ca="1" si="31"/>
        <v>0</v>
      </c>
      <c r="V79" s="306">
        <f t="shared" ca="1" si="32"/>
        <v>1.2229953745072597</v>
      </c>
      <c r="W79" s="304">
        <f t="shared" ca="1" si="33"/>
        <v>16.599865898124431</v>
      </c>
      <c r="Y79" s="314" t="str">
        <f t="shared" ca="1" si="51"/>
        <v/>
      </c>
      <c r="Z79" s="315" t="str">
        <f t="shared" ca="1" si="52"/>
        <v/>
      </c>
      <c r="AA79" s="316" t="str">
        <f t="shared" ca="1" si="53"/>
        <v/>
      </c>
      <c r="AC79" s="310" t="e">
        <f t="shared" ca="1" si="54"/>
        <v>#N/A</v>
      </c>
      <c r="AD79" s="323" t="e">
        <f t="shared" ca="1" si="55"/>
        <v>#N/A</v>
      </c>
      <c r="AE79" s="324">
        <f t="shared" ca="1" si="34"/>
        <v>16.37769020003886</v>
      </c>
      <c r="AG79" s="306">
        <f t="shared" ca="1" si="56"/>
        <v>73.322224407651859</v>
      </c>
      <c r="AH79" s="304">
        <f t="shared" ca="1" si="57"/>
        <v>82.72564214864498</v>
      </c>
    </row>
    <row r="80" spans="1:34" x14ac:dyDescent="0.2">
      <c r="A80" s="347">
        <f t="shared" ca="1" si="35"/>
        <v>0.01</v>
      </c>
      <c r="B80" s="304">
        <f t="shared" ca="1" si="36"/>
        <v>0.76000000000000045</v>
      </c>
      <c r="D80" s="306">
        <f t="shared" ca="1" si="37"/>
        <v>23.787162264147796</v>
      </c>
      <c r="E80" s="307">
        <f t="shared" ca="1" si="38"/>
        <v>70.050412676117361</v>
      </c>
      <c r="F80" s="304">
        <f t="shared" ca="1" si="39"/>
        <v>73.978979478465646</v>
      </c>
      <c r="G80" s="306">
        <f t="shared" ca="1" si="40"/>
        <v>14.012487983766043</v>
      </c>
      <c r="H80" s="307">
        <f t="shared" ca="1" si="41"/>
        <v>46.945892073376598</v>
      </c>
      <c r="I80" s="304">
        <f t="shared" ca="1" si="42"/>
        <v>48.99251577598676</v>
      </c>
      <c r="J80" s="306">
        <f t="shared" ca="1" si="43"/>
        <v>4.7511392753411856</v>
      </c>
      <c r="K80" s="307">
        <f t="shared" ca="1" si="44"/>
        <v>16.843646600138818</v>
      </c>
      <c r="L80" s="304">
        <f t="shared" ca="1" si="29"/>
        <v>17.500907268026353</v>
      </c>
      <c r="M80" s="306">
        <f t="shared" ca="1" si="45"/>
        <v>1.2807330825793555</v>
      </c>
      <c r="N80" s="304">
        <f t="shared" ca="1" si="46"/>
        <v>73.380600314577009</v>
      </c>
      <c r="P80" s="310">
        <f t="shared" ca="1" si="47"/>
        <v>6</v>
      </c>
      <c r="Q80" s="304">
        <f t="shared" ca="1" si="48"/>
        <v>1923.5303625000006</v>
      </c>
      <c r="R80" s="306">
        <f t="shared" ca="1" si="49"/>
        <v>1.156761411247121</v>
      </c>
      <c r="S80" s="307">
        <f t="shared" ca="1" si="50"/>
        <v>22.884698111314027</v>
      </c>
      <c r="T80" s="304">
        <f t="shared" ca="1" si="30"/>
        <v>224.49888847199063</v>
      </c>
      <c r="U80" s="311">
        <f t="shared" ca="1" si="31"/>
        <v>0</v>
      </c>
      <c r="V80" s="306">
        <f t="shared" ca="1" si="32"/>
        <v>1.222938389543381</v>
      </c>
      <c r="W80" s="304">
        <f t="shared" ca="1" si="33"/>
        <v>17.111603899339102</v>
      </c>
      <c r="Y80" s="314" t="str">
        <f t="shared" ca="1" si="51"/>
        <v/>
      </c>
      <c r="Z80" s="315" t="str">
        <f t="shared" ca="1" si="52"/>
        <v/>
      </c>
      <c r="AA80" s="316" t="str">
        <f t="shared" ca="1" si="53"/>
        <v/>
      </c>
      <c r="AC80" s="310" t="e">
        <f t="shared" ca="1" si="54"/>
        <v>#N/A</v>
      </c>
      <c r="AD80" s="323" t="e">
        <f t="shared" ca="1" si="55"/>
        <v>#N/A</v>
      </c>
      <c r="AE80" s="324">
        <f t="shared" ca="1" si="34"/>
        <v>16.843646600138818</v>
      </c>
      <c r="AG80" s="306">
        <f t="shared" ca="1" si="56"/>
        <v>73.925956848770397</v>
      </c>
      <c r="AH80" s="304">
        <f t="shared" ca="1" si="57"/>
        <v>83.327754088182786</v>
      </c>
    </row>
    <row r="81" spans="1:34" x14ac:dyDescent="0.2">
      <c r="A81" s="347">
        <f t="shared" ca="1" si="35"/>
        <v>0.01</v>
      </c>
      <c r="B81" s="304">
        <f t="shared" ca="1" si="36"/>
        <v>0.77000000000000046</v>
      </c>
      <c r="D81" s="306">
        <f t="shared" ca="1" si="37"/>
        <v>23.809864536470336</v>
      </c>
      <c r="E81" s="307">
        <f t="shared" ca="1" si="38"/>
        <v>69.959940363612461</v>
      </c>
      <c r="F81" s="304">
        <f t="shared" ca="1" si="39"/>
        <v>73.90062858274807</v>
      </c>
      <c r="G81" s="306">
        <f t="shared" ca="1" si="40"/>
        <v>14.250586629130746</v>
      </c>
      <c r="H81" s="307">
        <f t="shared" ca="1" si="41"/>
        <v>47.645491477012726</v>
      </c>
      <c r="I81" s="304">
        <f t="shared" ca="1" si="42"/>
        <v>49.730997148262091</v>
      </c>
      <c r="J81" s="306">
        <f t="shared" ca="1" si="43"/>
        <v>4.8924546484056695</v>
      </c>
      <c r="K81" s="307">
        <f t="shared" ca="1" si="44"/>
        <v>17.316603517890766</v>
      </c>
      <c r="L81" s="304">
        <f t="shared" ca="1" si="29"/>
        <v>17.994467757689669</v>
      </c>
      <c r="M81" s="306">
        <f t="shared" ca="1" si="45"/>
        <v>1.2801688899929218</v>
      </c>
      <c r="N81" s="304">
        <f t="shared" ca="1" si="46"/>
        <v>73.348274460541788</v>
      </c>
      <c r="P81" s="310">
        <f t="shared" ca="1" si="47"/>
        <v>7</v>
      </c>
      <c r="Q81" s="304">
        <f t="shared" ca="1" si="48"/>
        <v>1921.2446105263155</v>
      </c>
      <c r="R81" s="306">
        <f t="shared" ca="1" si="49"/>
        <v>1.1553868191271377</v>
      </c>
      <c r="S81" s="307">
        <f t="shared" ca="1" si="50"/>
        <v>22.873144243122756</v>
      </c>
      <c r="T81" s="304">
        <f t="shared" ca="1" si="30"/>
        <v>224.38554502503425</v>
      </c>
      <c r="U81" s="311">
        <f t="shared" ca="1" si="31"/>
        <v>0</v>
      </c>
      <c r="V81" s="306">
        <f t="shared" ca="1" si="32"/>
        <v>1.2228805511518275</v>
      </c>
      <c r="W81" s="304">
        <f t="shared" ca="1" si="33"/>
        <v>17.630516302381341</v>
      </c>
      <c r="Y81" s="314" t="str">
        <f t="shared" ca="1" si="51"/>
        <v/>
      </c>
      <c r="Z81" s="315" t="str">
        <f t="shared" ca="1" si="52"/>
        <v/>
      </c>
      <c r="AA81" s="316" t="str">
        <f t="shared" ca="1" si="53"/>
        <v/>
      </c>
      <c r="AC81" s="310" t="e">
        <f t="shared" ca="1" si="54"/>
        <v>#N/A</v>
      </c>
      <c r="AD81" s="323" t="e">
        <f t="shared" ca="1" si="55"/>
        <v>#N/A</v>
      </c>
      <c r="AE81" s="324">
        <f t="shared" ca="1" si="34"/>
        <v>17.316603517890766</v>
      </c>
      <c r="AG81" s="306">
        <f t="shared" ca="1" si="56"/>
        <v>73.847345725726441</v>
      </c>
      <c r="AH81" s="304">
        <f t="shared" ca="1" si="57"/>
        <v>83.247540713581174</v>
      </c>
    </row>
    <row r="82" spans="1:34" x14ac:dyDescent="0.2">
      <c r="A82" s="347">
        <f t="shared" ca="1" si="35"/>
        <v>0.01</v>
      </c>
      <c r="B82" s="304">
        <f t="shared" ca="1" si="36"/>
        <v>0.78000000000000047</v>
      </c>
      <c r="D82" s="306">
        <f t="shared" ca="1" si="37"/>
        <v>23.747868835023013</v>
      </c>
      <c r="E82" s="307">
        <f t="shared" ca="1" si="38"/>
        <v>69.588758214160791</v>
      </c>
      <c r="F82" s="304">
        <f t="shared" ca="1" si="39"/>
        <v>73.529290381414583</v>
      </c>
      <c r="G82" s="306">
        <f t="shared" ca="1" si="40"/>
        <v>14.488065317480975</v>
      </c>
      <c r="H82" s="307">
        <f t="shared" ca="1" si="41"/>
        <v>48.341379059154335</v>
      </c>
      <c r="I82" s="304">
        <f t="shared" ca="1" si="42"/>
        <v>50.465760332966752</v>
      </c>
      <c r="J82" s="306">
        <f t="shared" ca="1" si="43"/>
        <v>5.0361479081387284</v>
      </c>
      <c r="K82" s="307">
        <f t="shared" ca="1" si="44"/>
        <v>17.796537870571601</v>
      </c>
      <c r="L82" s="304">
        <f t="shared" ca="1" si="29"/>
        <v>18.49539255953599</v>
      </c>
      <c r="M82" s="306">
        <f t="shared" ca="1" si="45"/>
        <v>1.2796118610207723</v>
      </c>
      <c r="N82" s="304">
        <f t="shared" ca="1" si="46"/>
        <v>73.316359051371109</v>
      </c>
      <c r="P82" s="310">
        <f t="shared" ca="1" si="47"/>
        <v>7</v>
      </c>
      <c r="Q82" s="304">
        <f t="shared" ca="1" si="48"/>
        <v>1912.2697684210523</v>
      </c>
      <c r="R82" s="306">
        <f t="shared" ca="1" si="49"/>
        <v>1.1499895812036816</v>
      </c>
      <c r="S82" s="307">
        <f t="shared" ca="1" si="50"/>
        <v>22.861644347310719</v>
      </c>
      <c r="T82" s="304">
        <f t="shared" ca="1" si="30"/>
        <v>224.27273104711816</v>
      </c>
      <c r="U82" s="311">
        <f t="shared" ca="1" si="31"/>
        <v>0</v>
      </c>
      <c r="V82" s="306">
        <f t="shared" ca="1" si="32"/>
        <v>1.2228218622763796</v>
      </c>
      <c r="W82" s="304">
        <f t="shared" ca="1" si="33"/>
        <v>18.154466646380083</v>
      </c>
      <c r="Y82" s="314" t="str">
        <f t="shared" ca="1" si="51"/>
        <v/>
      </c>
      <c r="Z82" s="315" t="str">
        <f t="shared" ca="1" si="52"/>
        <v/>
      </c>
      <c r="AA82" s="316" t="str">
        <f t="shared" ca="1" si="53"/>
        <v/>
      </c>
      <c r="AC82" s="310" t="e">
        <f t="shared" ca="1" si="54"/>
        <v>#N/A</v>
      </c>
      <c r="AD82" s="323" t="e">
        <f t="shared" ca="1" si="55"/>
        <v>#N/A</v>
      </c>
      <c r="AE82" s="324">
        <f t="shared" ca="1" si="34"/>
        <v>17.796537870571601</v>
      </c>
      <c r="AG82" s="306">
        <f t="shared" ca="1" si="56"/>
        <v>73.475535541460999</v>
      </c>
      <c r="AH82" s="304">
        <f t="shared" ca="1" si="57"/>
        <v>82.874146029725239</v>
      </c>
    </row>
    <row r="83" spans="1:34" x14ac:dyDescent="0.2">
      <c r="A83" s="347">
        <f t="shared" ca="1" si="35"/>
        <v>0.01</v>
      </c>
      <c r="B83" s="304">
        <f t="shared" ca="1" si="36"/>
        <v>0.79000000000000048</v>
      </c>
      <c r="D83" s="306">
        <f t="shared" ca="1" si="37"/>
        <v>23.68466864729735</v>
      </c>
      <c r="E83" s="307">
        <f t="shared" ca="1" si="38"/>
        <v>69.217083318571071</v>
      </c>
      <c r="F83" s="304">
        <f t="shared" ca="1" si="39"/>
        <v>73.157146965025092</v>
      </c>
      <c r="G83" s="306">
        <f t="shared" ca="1" si="40"/>
        <v>14.72491200395395</v>
      </c>
      <c r="H83" s="307">
        <f t="shared" ca="1" si="41"/>
        <v>49.033549892340048</v>
      </c>
      <c r="I83" s="304">
        <f t="shared" ca="1" si="42"/>
        <v>51.196797249132565</v>
      </c>
      <c r="J83" s="306">
        <f t="shared" ca="1" si="43"/>
        <v>5.1822127947459027</v>
      </c>
      <c r="K83" s="307">
        <f t="shared" ca="1" si="44"/>
        <v>18.283412515329072</v>
      </c>
      <c r="L83" s="304">
        <f t="shared" ca="1" si="29"/>
        <v>19.003644457201357</v>
      </c>
      <c r="M83" s="306">
        <f t="shared" ca="1" si="45"/>
        <v>1.2790617633446189</v>
      </c>
      <c r="N83" s="304">
        <f t="shared" ca="1" si="46"/>
        <v>73.28484077620756</v>
      </c>
      <c r="P83" s="310">
        <f t="shared" ca="1" si="47"/>
        <v>7</v>
      </c>
      <c r="Q83" s="304">
        <f t="shared" ca="1" si="48"/>
        <v>1903.2949263157891</v>
      </c>
      <c r="R83" s="306">
        <f t="shared" ca="1" si="49"/>
        <v>1.1445923432802254</v>
      </c>
      <c r="S83" s="307">
        <f t="shared" ca="1" si="50"/>
        <v>22.850198423877917</v>
      </c>
      <c r="T83" s="304">
        <f t="shared" ca="1" si="30"/>
        <v>224.16044653824238</v>
      </c>
      <c r="U83" s="311">
        <f t="shared" ca="1" si="31"/>
        <v>0</v>
      </c>
      <c r="V83" s="306">
        <f t="shared" ca="1" si="32"/>
        <v>1.2227623275812678</v>
      </c>
      <c r="W83" s="304">
        <f t="shared" ca="1" si="33"/>
        <v>18.683330433412312</v>
      </c>
      <c r="Y83" s="314" t="str">
        <f t="shared" ca="1" si="51"/>
        <v/>
      </c>
      <c r="Z83" s="315" t="str">
        <f t="shared" ca="1" si="52"/>
        <v/>
      </c>
      <c r="AA83" s="316" t="str">
        <f t="shared" ca="1" si="53"/>
        <v/>
      </c>
      <c r="AC83" s="310" t="e">
        <f t="shared" ca="1" si="54"/>
        <v>#N/A</v>
      </c>
      <c r="AD83" s="323" t="e">
        <f t="shared" ca="1" si="55"/>
        <v>#N/A</v>
      </c>
      <c r="AE83" s="324">
        <f t="shared" ca="1" si="34"/>
        <v>18.283412515329072</v>
      </c>
      <c r="AG83" s="306">
        <f t="shared" ca="1" si="56"/>
        <v>73.102916989979121</v>
      </c>
      <c r="AH83" s="304">
        <f t="shared" ca="1" si="57"/>
        <v>82.499960162248826</v>
      </c>
    </row>
    <row r="84" spans="1:34" x14ac:dyDescent="0.2">
      <c r="A84" s="347">
        <f t="shared" ca="1" si="35"/>
        <v>0.01</v>
      </c>
      <c r="B84" s="304">
        <f t="shared" ca="1" si="36"/>
        <v>0.80000000000000049</v>
      </c>
      <c r="D84" s="306">
        <f t="shared" ca="1" si="37"/>
        <v>23.620291042188576</v>
      </c>
      <c r="E84" s="307">
        <f t="shared" ca="1" si="38"/>
        <v>68.844916170483614</v>
      </c>
      <c r="F84" s="304">
        <f t="shared" ca="1" si="39"/>
        <v>72.784205920231145</v>
      </c>
      <c r="G84" s="306">
        <f t="shared" ca="1" si="40"/>
        <v>14.961114914375836</v>
      </c>
      <c r="H84" s="307">
        <f t="shared" ca="1" si="41"/>
        <v>49.721999054044886</v>
      </c>
      <c r="I84" s="304">
        <f t="shared" ca="1" si="42"/>
        <v>51.924099890239788</v>
      </c>
      <c r="J84" s="306">
        <f t="shared" ca="1" si="43"/>
        <v>5.3306429293375519</v>
      </c>
      <c r="K84" s="307">
        <f t="shared" ca="1" si="44"/>
        <v>18.777190260060998</v>
      </c>
      <c r="L84" s="304">
        <f t="shared" ca="1" si="29"/>
        <v>19.519186153695703</v>
      </c>
      <c r="M84" s="306">
        <f t="shared" ca="1" si="45"/>
        <v>1.2785183754404799</v>
      </c>
      <c r="N84" s="304">
        <f t="shared" ca="1" si="46"/>
        <v>73.253706942661935</v>
      </c>
      <c r="P84" s="310">
        <f t="shared" ca="1" si="47"/>
        <v>7</v>
      </c>
      <c r="Q84" s="304">
        <f t="shared" ca="1" si="48"/>
        <v>1894.3200842105259</v>
      </c>
      <c r="R84" s="306">
        <f t="shared" ca="1" si="49"/>
        <v>1.1391951053567693</v>
      </c>
      <c r="S84" s="307">
        <f t="shared" ca="1" si="50"/>
        <v>22.838806472824349</v>
      </c>
      <c r="T84" s="304">
        <f t="shared" ca="1" si="30"/>
        <v>224.04869149840687</v>
      </c>
      <c r="U84" s="311">
        <f t="shared" ca="1" si="31"/>
        <v>0</v>
      </c>
      <c r="V84" s="306">
        <f t="shared" ca="1" si="32"/>
        <v>1.222701951737615</v>
      </c>
      <c r="W84" s="304">
        <f t="shared" ca="1" si="33"/>
        <v>19.216983487991598</v>
      </c>
      <c r="Y84" s="314" t="str">
        <f t="shared" ca="1" si="51"/>
        <v/>
      </c>
      <c r="Z84" s="315" t="str">
        <f t="shared" ca="1" si="52"/>
        <v/>
      </c>
      <c r="AA84" s="316" t="str">
        <f t="shared" ca="1" si="53"/>
        <v/>
      </c>
      <c r="AC84" s="310" t="e">
        <f t="shared" ca="1" si="54"/>
        <v>#N/A</v>
      </c>
      <c r="AD84" s="323" t="e">
        <f t="shared" ca="1" si="55"/>
        <v>#N/A</v>
      </c>
      <c r="AE84" s="324">
        <f t="shared" ca="1" si="34"/>
        <v>18.777190260060998</v>
      </c>
      <c r="AG84" s="306">
        <f t="shared" ca="1" si="56"/>
        <v>72.729497528216442</v>
      </c>
      <c r="AH84" s="304">
        <f t="shared" ca="1" si="57"/>
        <v>82.124990025591472</v>
      </c>
    </row>
    <row r="85" spans="1:34" x14ac:dyDescent="0.2">
      <c r="A85" s="347">
        <f t="shared" ca="1" si="35"/>
        <v>0.01</v>
      </c>
      <c r="B85" s="304">
        <f t="shared" ca="1" si="36"/>
        <v>0.8100000000000005</v>
      </c>
      <c r="D85" s="306">
        <f t="shared" ca="1" si="37"/>
        <v>23.554761940307735</v>
      </c>
      <c r="E85" s="307">
        <f t="shared" ca="1" si="38"/>
        <v>68.472257546786196</v>
      </c>
      <c r="F85" s="304">
        <f t="shared" ca="1" si="39"/>
        <v>72.410474819724726</v>
      </c>
      <c r="G85" s="306">
        <f t="shared" ca="1" si="40"/>
        <v>15.196662533778913</v>
      </c>
      <c r="H85" s="307">
        <f t="shared" ca="1" si="41"/>
        <v>50.406721629512745</v>
      </c>
      <c r="I85" s="304">
        <f t="shared" ca="1" si="42"/>
        <v>52.647660324089877</v>
      </c>
      <c r="J85" s="306">
        <f t="shared" ca="1" si="43"/>
        <v>5.4814318165783256</v>
      </c>
      <c r="K85" s="307">
        <f t="shared" ca="1" si="44"/>
        <v>19.277833863478786</v>
      </c>
      <c r="L85" s="304">
        <f t="shared" ca="1" si="29"/>
        <v>20.041980272111001</v>
      </c>
      <c r="M85" s="306">
        <f t="shared" ca="1" si="45"/>
        <v>1.2779814859109009</v>
      </c>
      <c r="N85" s="304">
        <f t="shared" ca="1" si="46"/>
        <v>73.222945438552301</v>
      </c>
      <c r="P85" s="310">
        <f t="shared" ca="1" si="47"/>
        <v>7</v>
      </c>
      <c r="Q85" s="304">
        <f t="shared" ca="1" si="48"/>
        <v>1885.3452421052627</v>
      </c>
      <c r="R85" s="306">
        <f t="shared" ca="1" si="49"/>
        <v>1.1337978674333131</v>
      </c>
      <c r="S85" s="307">
        <f t="shared" ca="1" si="50"/>
        <v>22.827468494150015</v>
      </c>
      <c r="T85" s="304">
        <f t="shared" ca="1" si="30"/>
        <v>223.93746592761167</v>
      </c>
      <c r="U85" s="311">
        <f t="shared" ca="1" si="31"/>
        <v>0</v>
      </c>
      <c r="V85" s="306">
        <f t="shared" ca="1" si="32"/>
        <v>1.2226407394233958</v>
      </c>
      <c r="W85" s="304">
        <f t="shared" ca="1" si="33"/>
        <v>19.755301966079763</v>
      </c>
      <c r="Y85" s="314" t="str">
        <f t="shared" ca="1" si="51"/>
        <v/>
      </c>
      <c r="Z85" s="315" t="str">
        <f t="shared" ca="1" si="52"/>
        <v/>
      </c>
      <c r="AA85" s="316" t="str">
        <f t="shared" ca="1" si="53"/>
        <v/>
      </c>
      <c r="AC85" s="310" t="e">
        <f t="shared" ca="1" si="54"/>
        <v>#N/A</v>
      </c>
      <c r="AD85" s="323" t="e">
        <f t="shared" ca="1" si="55"/>
        <v>#N/A</v>
      </c>
      <c r="AE85" s="324">
        <f t="shared" ca="1" si="34"/>
        <v>19.277833863478786</v>
      </c>
      <c r="AG85" s="306">
        <f t="shared" ca="1" si="56"/>
        <v>72.355284599657239</v>
      </c>
      <c r="AH85" s="304">
        <f t="shared" ca="1" si="57"/>
        <v>81.749242545028721</v>
      </c>
    </row>
    <row r="86" spans="1:34" x14ac:dyDescent="0.2">
      <c r="A86" s="347">
        <f t="shared" ca="1" si="35"/>
        <v>0.01</v>
      </c>
      <c r="B86" s="304">
        <f t="shared" ca="1" si="36"/>
        <v>0.82000000000000051</v>
      </c>
      <c r="D86" s="306">
        <f t="shared" ca="1" si="37"/>
        <v>23.488106184419571</v>
      </c>
      <c r="E86" s="307">
        <f t="shared" ca="1" si="38"/>
        <v>68.099108490814288</v>
      </c>
      <c r="F86" s="304">
        <f t="shared" ca="1" si="39"/>
        <v>72.035961223365817</v>
      </c>
      <c r="G86" s="306">
        <f t="shared" ca="1" si="40"/>
        <v>15.431543595623108</v>
      </c>
      <c r="H86" s="307">
        <f t="shared" ca="1" si="41"/>
        <v>51.087712714420888</v>
      </c>
      <c r="I86" s="304">
        <f t="shared" ca="1" si="42"/>
        <v>53.367470692687114</v>
      </c>
      <c r="J86" s="306">
        <f t="shared" ca="1" si="43"/>
        <v>5.6345728472253356</v>
      </c>
      <c r="K86" s="307">
        <f t="shared" ca="1" si="44"/>
        <v>19.785306035198456</v>
      </c>
      <c r="L86" s="304">
        <f t="shared" ca="1" si="29"/>
        <v>20.571989356334729</v>
      </c>
      <c r="M86" s="306">
        <f t="shared" ca="1" si="45"/>
        <v>1.2774508928682033</v>
      </c>
      <c r="N86" s="304">
        <f t="shared" ca="1" si="46"/>
        <v>73.192544696566728</v>
      </c>
      <c r="P86" s="310">
        <f t="shared" ca="1" si="47"/>
        <v>7</v>
      </c>
      <c r="Q86" s="304">
        <f t="shared" ca="1" si="48"/>
        <v>1876.3703999999996</v>
      </c>
      <c r="R86" s="306">
        <f t="shared" ca="1" si="49"/>
        <v>1.128400629509857</v>
      </c>
      <c r="S86" s="307">
        <f t="shared" ca="1" si="50"/>
        <v>22.816184487854915</v>
      </c>
      <c r="T86" s="304">
        <f t="shared" ca="1" si="30"/>
        <v>223.82676982585673</v>
      </c>
      <c r="U86" s="311">
        <f t="shared" ca="1" si="31"/>
        <v>0</v>
      </c>
      <c r="V86" s="306">
        <f t="shared" ca="1" si="32"/>
        <v>1.2225786953233897</v>
      </c>
      <c r="W86" s="304">
        <f t="shared" ca="1" si="33"/>
        <v>20.298162364032233</v>
      </c>
      <c r="Y86" s="314" t="str">
        <f t="shared" ca="1" si="51"/>
        <v/>
      </c>
      <c r="Z86" s="315" t="str">
        <f t="shared" ca="1" si="52"/>
        <v/>
      </c>
      <c r="AA86" s="316" t="str">
        <f t="shared" ca="1" si="53"/>
        <v/>
      </c>
      <c r="AC86" s="310" t="e">
        <f t="shared" ca="1" si="54"/>
        <v>#N/A</v>
      </c>
      <c r="AD86" s="323" t="e">
        <f t="shared" ca="1" si="55"/>
        <v>#N/A</v>
      </c>
      <c r="AE86" s="324">
        <f t="shared" ca="1" si="34"/>
        <v>19.785306035198456</v>
      </c>
      <c r="AG86" s="306">
        <f t="shared" ca="1" si="56"/>
        <v>71.980285635269851</v>
      </c>
      <c r="AH86" s="304">
        <f t="shared" ca="1" si="57"/>
        <v>81.372724656140406</v>
      </c>
    </row>
    <row r="87" spans="1:34" x14ac:dyDescent="0.2">
      <c r="A87" s="347">
        <f t="shared" ca="1" si="35"/>
        <v>0.01</v>
      </c>
      <c r="B87" s="304">
        <f t="shared" ca="1" si="36"/>
        <v>0.83000000000000052</v>
      </c>
      <c r="D87" s="306">
        <f t="shared" ca="1" si="37"/>
        <v>23.420347604520906</v>
      </c>
      <c r="E87" s="307">
        <f t="shared" ca="1" si="38"/>
        <v>67.725470296763021</v>
      </c>
      <c r="F87" s="304">
        <f t="shared" ca="1" si="39"/>
        <v>71.66067267919216</v>
      </c>
      <c r="G87" s="306">
        <f t="shared" ca="1" si="40"/>
        <v>15.665747071668317</v>
      </c>
      <c r="H87" s="307">
        <f t="shared" ca="1" si="41"/>
        <v>51.764967417388519</v>
      </c>
      <c r="I87" s="304">
        <f t="shared" ca="1" si="42"/>
        <v>54.083523212127922</v>
      </c>
      <c r="J87" s="306">
        <f t="shared" ca="1" si="43"/>
        <v>5.7900593005617926</v>
      </c>
      <c r="K87" s="307">
        <f t="shared" ca="1" si="44"/>
        <v>20.299569435857503</v>
      </c>
      <c r="L87" s="304">
        <f t="shared" ca="1" si="29"/>
        <v>21.109175871767761</v>
      </c>
      <c r="M87" s="306">
        <f t="shared" ca="1" si="45"/>
        <v>1.2769264033641408</v>
      </c>
      <c r="N87" s="304">
        <f t="shared" ca="1" si="46"/>
        <v>73.162493661585032</v>
      </c>
      <c r="P87" s="310">
        <f t="shared" ca="1" si="47"/>
        <v>7</v>
      </c>
      <c r="Q87" s="304">
        <f t="shared" ca="1" si="48"/>
        <v>1867.3955578947364</v>
      </c>
      <c r="R87" s="306">
        <f t="shared" ca="1" si="49"/>
        <v>1.1230033915864008</v>
      </c>
      <c r="S87" s="307">
        <f t="shared" ca="1" si="50"/>
        <v>22.80495445393905</v>
      </c>
      <c r="T87" s="304">
        <f t="shared" ca="1" si="30"/>
        <v>223.71660319314211</v>
      </c>
      <c r="U87" s="311">
        <f t="shared" ca="1" si="31"/>
        <v>0</v>
      </c>
      <c r="V87" s="306">
        <f t="shared" ca="1" si="32"/>
        <v>1.2225158241291365</v>
      </c>
      <c r="W87" s="304">
        <f t="shared" ca="1" si="33"/>
        <v>20.845441527476748</v>
      </c>
      <c r="Y87" s="314" t="str">
        <f t="shared" ca="1" si="51"/>
        <v/>
      </c>
      <c r="Z87" s="315" t="str">
        <f t="shared" ca="1" si="52"/>
        <v/>
      </c>
      <c r="AA87" s="316" t="str">
        <f t="shared" ca="1" si="53"/>
        <v/>
      </c>
      <c r="AC87" s="310" t="e">
        <f t="shared" ca="1" si="54"/>
        <v>#N/A</v>
      </c>
      <c r="AD87" s="323" t="e">
        <f t="shared" ca="1" si="55"/>
        <v>#N/A</v>
      </c>
      <c r="AE87" s="324">
        <f t="shared" ca="1" si="34"/>
        <v>20.299569435857503</v>
      </c>
      <c r="AG87" s="306">
        <f t="shared" ca="1" si="56"/>
        <v>71.604508054332825</v>
      </c>
      <c r="AH87" s="304">
        <f t="shared" ca="1" si="57"/>
        <v>80.995443304279831</v>
      </c>
    </row>
    <row r="88" spans="1:34" x14ac:dyDescent="0.2">
      <c r="A88" s="347">
        <f t="shared" ca="1" si="35"/>
        <v>0.01</v>
      </c>
      <c r="B88" s="304">
        <f t="shared" ca="1" si="36"/>
        <v>0.84000000000000052</v>
      </c>
      <c r="D88" s="306">
        <f t="shared" ca="1" si="37"/>
        <v>23.351509078042554</v>
      </c>
      <c r="E88" s="307">
        <f t="shared" ca="1" si="38"/>
        <v>67.351344495203563</v>
      </c>
      <c r="F88" s="304">
        <f t="shared" ca="1" si="39"/>
        <v>71.284616724322021</v>
      </c>
      <c r="G88" s="306">
        <f t="shared" ca="1" si="40"/>
        <v>15.899262162448743</v>
      </c>
      <c r="H88" s="307">
        <f t="shared" ca="1" si="41"/>
        <v>52.438480862340555</v>
      </c>
      <c r="I88" s="304">
        <f t="shared" ca="1" si="42"/>
        <v>54.795810172497049</v>
      </c>
      <c r="J88" s="306">
        <f t="shared" ca="1" si="43"/>
        <v>5.9478843467323781</v>
      </c>
      <c r="K88" s="307">
        <f t="shared" ca="1" si="44"/>
        <v>20.820586677256149</v>
      </c>
      <c r="L88" s="304">
        <f t="shared" ca="1" si="29"/>
        <v>21.653502206046031</v>
      </c>
      <c r="M88" s="306">
        <f t="shared" ca="1" si="45"/>
        <v>1.2764078328618176</v>
      </c>
      <c r="N88" s="304">
        <f t="shared" ca="1" si="46"/>
        <v>73.132781760421935</v>
      </c>
      <c r="P88" s="310">
        <f t="shared" ca="1" si="47"/>
        <v>7</v>
      </c>
      <c r="Q88" s="304">
        <f t="shared" ca="1" si="48"/>
        <v>1858.4207157894732</v>
      </c>
      <c r="R88" s="306">
        <f t="shared" ca="1" si="49"/>
        <v>1.1176061536629449</v>
      </c>
      <c r="S88" s="307">
        <f t="shared" ca="1" si="50"/>
        <v>22.79377839240242</v>
      </c>
      <c r="T88" s="304">
        <f t="shared" ca="1" si="30"/>
        <v>223.60696602946774</v>
      </c>
      <c r="U88" s="311">
        <f t="shared" ca="1" si="31"/>
        <v>0</v>
      </c>
      <c r="V88" s="306">
        <f t="shared" ca="1" si="32"/>
        <v>1.2224521305388842</v>
      </c>
      <c r="W88" s="304">
        <f t="shared" ca="1" si="33"/>
        <v>21.397016660124898</v>
      </c>
      <c r="Y88" s="314" t="str">
        <f t="shared" ca="1" si="51"/>
        <v/>
      </c>
      <c r="Z88" s="315" t="str">
        <f t="shared" ca="1" si="52"/>
        <v/>
      </c>
      <c r="AA88" s="316" t="str">
        <f t="shared" ca="1" si="53"/>
        <v/>
      </c>
      <c r="AC88" s="310" t="e">
        <f t="shared" ca="1" si="54"/>
        <v>#N/A</v>
      </c>
      <c r="AD88" s="323" t="e">
        <f t="shared" ca="1" si="55"/>
        <v>#N/A</v>
      </c>
      <c r="AE88" s="324">
        <f t="shared" ca="1" si="34"/>
        <v>20.820586677256149</v>
      </c>
      <c r="AG88" s="306">
        <f t="shared" ca="1" si="56"/>
        <v>71.227959265162212</v>
      </c>
      <c r="AH88" s="304">
        <f t="shared" ca="1" si="57"/>
        <v>80.617405444044053</v>
      </c>
    </row>
    <row r="89" spans="1:34" x14ac:dyDescent="0.2">
      <c r="A89" s="347">
        <f t="shared" ca="1" si="35"/>
        <v>0.01</v>
      </c>
      <c r="B89" s="304">
        <f t="shared" ca="1" si="36"/>
        <v>0.85000000000000053</v>
      </c>
      <c r="D89" s="306">
        <f t="shared" ca="1" si="37"/>
        <v>23.281612585608052</v>
      </c>
      <c r="E89" s="307">
        <f t="shared" ca="1" si="38"/>
        <v>66.976732839607664</v>
      </c>
      <c r="F89" s="304">
        <f t="shared" ca="1" si="39"/>
        <v>70.907800885759556</v>
      </c>
      <c r="G89" s="306">
        <f t="shared" ca="1" si="40"/>
        <v>16.132078288304822</v>
      </c>
      <c r="H89" s="307">
        <f t="shared" ca="1" si="41"/>
        <v>53.108248190736631</v>
      </c>
      <c r="I89" s="304">
        <f t="shared" ca="1" si="42"/>
        <v>55.504323937769719</v>
      </c>
      <c r="J89" s="306">
        <f t="shared" ca="1" si="43"/>
        <v>6.1080410489861459</v>
      </c>
      <c r="K89" s="307">
        <f t="shared" ca="1" si="44"/>
        <v>21.348320322521534</v>
      </c>
      <c r="L89" s="304">
        <f t="shared" ca="1" si="29"/>
        <v>22.204930669765346</v>
      </c>
      <c r="M89" s="306">
        <f t="shared" ca="1" si="45"/>
        <v>1.2758950047461612</v>
      </c>
      <c r="N89" s="304">
        <f t="shared" ca="1" si="46"/>
        <v>73.103398873779184</v>
      </c>
      <c r="P89" s="310">
        <f t="shared" ca="1" si="47"/>
        <v>7</v>
      </c>
      <c r="Q89" s="304">
        <f t="shared" ca="1" si="48"/>
        <v>1849.44587368421</v>
      </c>
      <c r="R89" s="306">
        <f t="shared" ca="1" si="49"/>
        <v>1.1122089157394888</v>
      </c>
      <c r="S89" s="307">
        <f t="shared" ca="1" si="50"/>
        <v>22.782656303245023</v>
      </c>
      <c r="T89" s="304">
        <f t="shared" ca="1" si="30"/>
        <v>223.49785833483369</v>
      </c>
      <c r="U89" s="311">
        <f t="shared" ca="1" si="31"/>
        <v>0</v>
      </c>
      <c r="V89" s="306">
        <f t="shared" ca="1" si="32"/>
        <v>1.2223876192575358</v>
      </c>
      <c r="W89" s="304">
        <f t="shared" ca="1" si="33"/>
        <v>21.952765332516137</v>
      </c>
      <c r="Y89" s="314" t="str">
        <f t="shared" ca="1" si="51"/>
        <v/>
      </c>
      <c r="Z89" s="315" t="str">
        <f t="shared" ca="1" si="52"/>
        <v/>
      </c>
      <c r="AA89" s="316" t="str">
        <f t="shared" ca="1" si="53"/>
        <v/>
      </c>
      <c r="AC89" s="310" t="e">
        <f t="shared" ca="1" si="54"/>
        <v>#N/A</v>
      </c>
      <c r="AD89" s="323" t="e">
        <f t="shared" ca="1" si="55"/>
        <v>#N/A</v>
      </c>
      <c r="AE89" s="324">
        <f t="shared" ca="1" si="34"/>
        <v>21.348320322521534</v>
      </c>
      <c r="AG89" s="306">
        <f t="shared" ca="1" si="56"/>
        <v>70.850646665748428</v>
      </c>
      <c r="AH89" s="304">
        <f t="shared" ca="1" si="57"/>
        <v>80.238618038745074</v>
      </c>
    </row>
    <row r="90" spans="1:34" x14ac:dyDescent="0.2">
      <c r="A90" s="347">
        <f t="shared" ca="1" si="35"/>
        <v>0.01</v>
      </c>
      <c r="B90" s="304">
        <f t="shared" ca="1" si="36"/>
        <v>0.86000000000000054</v>
      </c>
      <c r="D90" s="306">
        <f t="shared" ca="1" si="37"/>
        <v>23.237607546366362</v>
      </c>
      <c r="E90" s="307">
        <f t="shared" ca="1" si="38"/>
        <v>66.690287617996717</v>
      </c>
      <c r="F90" s="304">
        <f t="shared" ca="1" si="39"/>
        <v>70.622806989315208</v>
      </c>
      <c r="G90" s="306">
        <f t="shared" ca="1" si="40"/>
        <v>16.364454363768484</v>
      </c>
      <c r="H90" s="307">
        <f t="shared" ca="1" si="41"/>
        <v>53.7751510669166</v>
      </c>
      <c r="I90" s="304">
        <f t="shared" ca="1" si="42"/>
        <v>56.209983445056828</v>
      </c>
      <c r="J90" s="306">
        <f t="shared" ca="1" si="43"/>
        <v>6.2705237122465123</v>
      </c>
      <c r="K90" s="307">
        <f t="shared" ca="1" si="44"/>
        <v>21.882737318809799</v>
      </c>
      <c r="L90" s="304">
        <f t="shared" ca="1" si="29"/>
        <v>22.763428129125824</v>
      </c>
      <c r="M90" s="306">
        <f t="shared" ca="1" si="45"/>
        <v>1.2753877582305961</v>
      </c>
      <c r="N90" s="304">
        <f t="shared" ca="1" si="46"/>
        <v>73.07433578926458</v>
      </c>
      <c r="P90" s="310">
        <f t="shared" ca="1" si="47"/>
        <v>8</v>
      </c>
      <c r="Q90" s="304">
        <f t="shared" ca="1" si="48"/>
        <v>1842.5798040712471</v>
      </c>
      <c r="R90" s="306">
        <f t="shared" ca="1" si="49"/>
        <v>1.1080798390531768</v>
      </c>
      <c r="S90" s="307">
        <f t="shared" ca="1" si="50"/>
        <v>22.771575504854493</v>
      </c>
      <c r="T90" s="304">
        <f t="shared" ca="1" si="30"/>
        <v>223.38915570262259</v>
      </c>
      <c r="U90" s="311">
        <f t="shared" ca="1" si="31"/>
        <v>0</v>
      </c>
      <c r="V90" s="306">
        <f t="shared" ca="1" si="32"/>
        <v>1.2223222944547989</v>
      </c>
      <c r="W90" s="304">
        <f t="shared" ca="1" si="33"/>
        <v>22.513307640432551</v>
      </c>
      <c r="Y90" s="314" t="str">
        <f t="shared" ca="1" si="51"/>
        <v/>
      </c>
      <c r="Z90" s="315" t="str">
        <f t="shared" ca="1" si="52"/>
        <v/>
      </c>
      <c r="AA90" s="316" t="str">
        <f t="shared" ca="1" si="53"/>
        <v/>
      </c>
      <c r="AC90" s="310" t="e">
        <f t="shared" ca="1" si="54"/>
        <v>#N/A</v>
      </c>
      <c r="AD90" s="323" t="e">
        <f t="shared" ca="1" si="55"/>
        <v>#N/A</v>
      </c>
      <c r="AE90" s="324">
        <f t="shared" ca="1" si="34"/>
        <v>21.882737318809799</v>
      </c>
      <c r="AG90" s="306">
        <f t="shared" ca="1" si="56"/>
        <v>70.565227590022687</v>
      </c>
      <c r="AH90" s="304">
        <f t="shared" ca="1" si="57"/>
        <v>79.951738005594123</v>
      </c>
    </row>
    <row r="91" spans="1:34" x14ac:dyDescent="0.2">
      <c r="A91" s="347">
        <f t="shared" ca="1" si="35"/>
        <v>0.01</v>
      </c>
      <c r="B91" s="304">
        <f t="shared" ca="1" si="36"/>
        <v>0.87000000000000055</v>
      </c>
      <c r="D91" s="306">
        <f t="shared" ca="1" si="37"/>
        <v>23.300650185495595</v>
      </c>
      <c r="E91" s="307">
        <f t="shared" ca="1" si="38"/>
        <v>66.758149223269214</v>
      </c>
      <c r="F91" s="304">
        <f t="shared" ca="1" si="39"/>
        <v>70.707643057756599</v>
      </c>
      <c r="G91" s="306">
        <f t="shared" ca="1" si="40"/>
        <v>16.597460865623439</v>
      </c>
      <c r="H91" s="307">
        <f t="shared" ca="1" si="41"/>
        <v>54.442732559149292</v>
      </c>
      <c r="I91" s="304">
        <f t="shared" ca="1" si="42"/>
        <v>56.916490015574183</v>
      </c>
      <c r="J91" s="306">
        <f t="shared" ca="1" si="43"/>
        <v>6.4353332883934717</v>
      </c>
      <c r="K91" s="307">
        <f t="shared" ca="1" si="44"/>
        <v>22.423826736940129</v>
      </c>
      <c r="L91" s="304">
        <f t="shared" ca="1" si="29"/>
        <v>23.328984548432796</v>
      </c>
      <c r="M91" s="306">
        <f t="shared" ca="1" si="45"/>
        <v>1.2748859717134133</v>
      </c>
      <c r="N91" s="304">
        <f t="shared" ca="1" si="46"/>
        <v>73.045585539613441</v>
      </c>
      <c r="P91" s="310">
        <f t="shared" ca="1" si="47"/>
        <v>8</v>
      </c>
      <c r="Q91" s="304">
        <f t="shared" ca="1" si="48"/>
        <v>1844.148824427481</v>
      </c>
      <c r="R91" s="306">
        <f t="shared" ca="1" si="49"/>
        <v>1.1090234073154388</v>
      </c>
      <c r="S91" s="307">
        <f t="shared" ca="1" si="50"/>
        <v>22.760485270781338</v>
      </c>
      <c r="T91" s="304">
        <f t="shared" ca="1" si="30"/>
        <v>223.28036050636493</v>
      </c>
      <c r="U91" s="311">
        <f t="shared" ca="1" si="31"/>
        <v>0</v>
      </c>
      <c r="V91" s="306">
        <f t="shared" ca="1" si="32"/>
        <v>1.2222561575970567</v>
      </c>
      <c r="W91" s="304">
        <f t="shared" ca="1" si="33"/>
        <v>23.081557528300849</v>
      </c>
      <c r="Y91" s="314" t="str">
        <f t="shared" ca="1" si="51"/>
        <v/>
      </c>
      <c r="Z91" s="315" t="str">
        <f t="shared" ca="1" si="52"/>
        <v/>
      </c>
      <c r="AA91" s="316" t="str">
        <f t="shared" ca="1" si="53"/>
        <v/>
      </c>
      <c r="AC91" s="310" t="e">
        <f t="shared" ca="1" si="54"/>
        <v>#N/A</v>
      </c>
      <c r="AD91" s="323" t="e">
        <f t="shared" ca="1" si="55"/>
        <v>#N/A</v>
      </c>
      <c r="AE91" s="324">
        <f t="shared" ca="1" si="34"/>
        <v>22.423826736940129</v>
      </c>
      <c r="AG91" s="306">
        <f t="shared" ca="1" si="56"/>
        <v>70.649940502428208</v>
      </c>
      <c r="AH91" s="304">
        <f t="shared" ca="1" si="57"/>
        <v>80.035003433145789</v>
      </c>
    </row>
    <row r="92" spans="1:34" x14ac:dyDescent="0.2">
      <c r="A92" s="347">
        <f t="shared" ca="1" si="35"/>
        <v>0.01</v>
      </c>
      <c r="B92" s="304">
        <f t="shared" ca="1" si="36"/>
        <v>0.88000000000000056</v>
      </c>
      <c r="D92" s="306">
        <f t="shared" ca="1" si="37"/>
        <v>23.363283775273981</v>
      </c>
      <c r="E92" s="307">
        <f t="shared" ca="1" si="38"/>
        <v>66.825879462456285</v>
      </c>
      <c r="F92" s="304">
        <f t="shared" ca="1" si="39"/>
        <v>70.792239650223792</v>
      </c>
      <c r="G92" s="306">
        <f t="shared" ca="1" si="40"/>
        <v>16.83109370337618</v>
      </c>
      <c r="H92" s="307">
        <f t="shared" ca="1" si="41"/>
        <v>55.110991353773855</v>
      </c>
      <c r="I92" s="304">
        <f t="shared" ca="1" si="42"/>
        <v>57.623841274663093</v>
      </c>
      <c r="J92" s="306">
        <f t="shared" ca="1" si="43"/>
        <v>6.6024760612384696</v>
      </c>
      <c r="K92" s="307">
        <f t="shared" ca="1" si="44"/>
        <v>22.971595356504743</v>
      </c>
      <c r="L92" s="304">
        <f t="shared" ca="1" si="29"/>
        <v>23.901608384420857</v>
      </c>
      <c r="M92" s="306">
        <f t="shared" ca="1" si="45"/>
        <v>1.2743895276024026</v>
      </c>
      <c r="N92" s="304">
        <f t="shared" ca="1" si="46"/>
        <v>73.017141387288405</v>
      </c>
      <c r="P92" s="310">
        <f t="shared" ca="1" si="47"/>
        <v>8</v>
      </c>
      <c r="Q92" s="304">
        <f t="shared" ca="1" si="48"/>
        <v>1845.7178447837152</v>
      </c>
      <c r="R92" s="306">
        <f t="shared" ca="1" si="49"/>
        <v>1.1099669755777013</v>
      </c>
      <c r="S92" s="307">
        <f t="shared" ca="1" si="50"/>
        <v>22.749385601025562</v>
      </c>
      <c r="T92" s="304">
        <f t="shared" ca="1" si="30"/>
        <v>223.17147274606077</v>
      </c>
      <c r="U92" s="311">
        <f t="shared" ca="1" si="31"/>
        <v>0</v>
      </c>
      <c r="V92" s="306">
        <f t="shared" ca="1" si="32"/>
        <v>1.2221892079876648</v>
      </c>
      <c r="W92" s="304">
        <f t="shared" ca="1" si="33"/>
        <v>23.65753621715265</v>
      </c>
      <c r="Y92" s="314" t="str">
        <f t="shared" ca="1" si="51"/>
        <v/>
      </c>
      <c r="Z92" s="315" t="str">
        <f t="shared" ca="1" si="52"/>
        <v/>
      </c>
      <c r="AA92" s="316" t="str">
        <f t="shared" ca="1" si="53"/>
        <v/>
      </c>
      <c r="AC92" s="310" t="e">
        <f t="shared" ca="1" si="54"/>
        <v>#N/A</v>
      </c>
      <c r="AD92" s="323" t="e">
        <f t="shared" ca="1" si="55"/>
        <v>#N/A</v>
      </c>
      <c r="AE92" s="324">
        <f t="shared" ca="1" si="34"/>
        <v>22.971595356504743</v>
      </c>
      <c r="AG92" s="306">
        <f t="shared" ca="1" si="56"/>
        <v>70.734415819657698</v>
      </c>
      <c r="AH92" s="304">
        <f t="shared" ca="1" si="57"/>
        <v>80.118044470319603</v>
      </c>
    </row>
    <row r="93" spans="1:34" x14ac:dyDescent="0.2">
      <c r="A93" s="347">
        <f t="shared" ca="1" si="35"/>
        <v>0.01</v>
      </c>
      <c r="B93" s="304">
        <f t="shared" ca="1" si="36"/>
        <v>0.89000000000000057</v>
      </c>
      <c r="D93" s="306">
        <f t="shared" ca="1" si="37"/>
        <v>23.425515536540384</v>
      </c>
      <c r="E93" s="307">
        <f t="shared" ca="1" si="38"/>
        <v>66.893475540214482</v>
      </c>
      <c r="F93" s="304">
        <f t="shared" ca="1" si="39"/>
        <v>70.876595911499365</v>
      </c>
      <c r="G93" s="306">
        <f t="shared" ca="1" si="40"/>
        <v>17.065348858741583</v>
      </c>
      <c r="H93" s="307">
        <f t="shared" ca="1" si="41"/>
        <v>55.779926109176003</v>
      </c>
      <c r="I93" s="304">
        <f t="shared" ca="1" si="42"/>
        <v>58.332034838634655</v>
      </c>
      <c r="J93" s="306">
        <f t="shared" ca="1" si="43"/>
        <v>6.7719582740490587</v>
      </c>
      <c r="K93" s="307">
        <f t="shared" ca="1" si="44"/>
        <v>23.526049943819491</v>
      </c>
      <c r="L93" s="304">
        <f t="shared" ca="1" si="29"/>
        <v>24.48130807012874</v>
      </c>
      <c r="M93" s="306">
        <f t="shared" ca="1" si="45"/>
        <v>1.2738983121381064</v>
      </c>
      <c r="N93" s="304">
        <f t="shared" ca="1" si="46"/>
        <v>72.988996814352674</v>
      </c>
      <c r="P93" s="310">
        <f t="shared" ca="1" si="47"/>
        <v>8</v>
      </c>
      <c r="Q93" s="304">
        <f t="shared" ca="1" si="48"/>
        <v>1847.2868651399492</v>
      </c>
      <c r="R93" s="306">
        <f t="shared" ca="1" si="49"/>
        <v>1.1109105438399633</v>
      </c>
      <c r="S93" s="307">
        <f t="shared" ca="1" si="50"/>
        <v>22.738276495587161</v>
      </c>
      <c r="T93" s="304">
        <f t="shared" ca="1" si="30"/>
        <v>223.06249242171006</v>
      </c>
      <c r="U93" s="311">
        <f t="shared" ca="1" si="31"/>
        <v>0</v>
      </c>
      <c r="V93" s="306">
        <f t="shared" ca="1" si="32"/>
        <v>1.2221214449333955</v>
      </c>
      <c r="W93" s="304">
        <f t="shared" ca="1" si="33"/>
        <v>24.241264817803373</v>
      </c>
      <c r="Y93" s="314" t="str">
        <f t="shared" ca="1" si="51"/>
        <v/>
      </c>
      <c r="Z93" s="315" t="str">
        <f t="shared" ca="1" si="52"/>
        <v/>
      </c>
      <c r="AA93" s="316" t="str">
        <f t="shared" ca="1" si="53"/>
        <v/>
      </c>
      <c r="AC93" s="310" t="e">
        <f t="shared" ca="1" si="54"/>
        <v>#N/A</v>
      </c>
      <c r="AD93" s="323" t="e">
        <f t="shared" ca="1" si="55"/>
        <v>#N/A</v>
      </c>
      <c r="AE93" s="324">
        <f t="shared" ca="1" si="34"/>
        <v>23.526049943819491</v>
      </c>
      <c r="AG93" s="306">
        <f t="shared" ca="1" si="56"/>
        <v>70.818652642658421</v>
      </c>
      <c r="AH93" s="304">
        <f t="shared" ca="1" si="57"/>
        <v>80.200859958612511</v>
      </c>
    </row>
    <row r="94" spans="1:34" x14ac:dyDescent="0.2">
      <c r="A94" s="347">
        <f t="shared" ca="1" si="35"/>
        <v>0.01</v>
      </c>
      <c r="B94" s="304">
        <f t="shared" ca="1" si="36"/>
        <v>0.90000000000000058</v>
      </c>
      <c r="D94" s="306">
        <f t="shared" ca="1" si="37"/>
        <v>23.487352432456856</v>
      </c>
      <c r="E94" s="307">
        <f t="shared" ca="1" si="38"/>
        <v>66.960934718484793</v>
      </c>
      <c r="F94" s="304">
        <f t="shared" ca="1" si="39"/>
        <v>70.960710979101805</v>
      </c>
      <c r="G94" s="306">
        <f t="shared" ca="1" si="40"/>
        <v>17.300222383066153</v>
      </c>
      <c r="H94" s="307">
        <f t="shared" ca="1" si="41"/>
        <v>56.449535456360849</v>
      </c>
      <c r="I94" s="304">
        <f t="shared" ca="1" si="42"/>
        <v>59.04106831471195</v>
      </c>
      <c r="J94" s="306">
        <f t="shared" ca="1" si="43"/>
        <v>6.943786130258097</v>
      </c>
      <c r="K94" s="307">
        <f t="shared" ca="1" si="44"/>
        <v>24.087197251647176</v>
      </c>
      <c r="L94" s="304">
        <f t="shared" ca="1" si="29"/>
        <v>25.068092014800886</v>
      </c>
      <c r="M94" s="306">
        <f t="shared" ca="1" si="45"/>
        <v>1.2734122152267839</v>
      </c>
      <c r="N94" s="304">
        <f t="shared" ca="1" si="46"/>
        <v>72.961145512899549</v>
      </c>
      <c r="P94" s="310">
        <f t="shared" ca="1" si="47"/>
        <v>8</v>
      </c>
      <c r="Q94" s="304">
        <f t="shared" ca="1" si="48"/>
        <v>1848.8558854961834</v>
      </c>
      <c r="R94" s="306">
        <f t="shared" ca="1" si="49"/>
        <v>1.1118541121022256</v>
      </c>
      <c r="S94" s="307">
        <f t="shared" ca="1" si="50"/>
        <v>22.72715795446614</v>
      </c>
      <c r="T94" s="304">
        <f t="shared" ca="1" si="30"/>
        <v>222.95341953331285</v>
      </c>
      <c r="U94" s="311">
        <f t="shared" ca="1" si="31"/>
        <v>0</v>
      </c>
      <c r="V94" s="306">
        <f t="shared" ca="1" si="32"/>
        <v>1.2220528677444715</v>
      </c>
      <c r="W94" s="304">
        <f t="shared" ca="1" si="33"/>
        <v>24.832764329889685</v>
      </c>
      <c r="Y94" s="314" t="str">
        <f t="shared" ca="1" si="51"/>
        <v/>
      </c>
      <c r="Z94" s="315" t="str">
        <f t="shared" ca="1" si="52"/>
        <v/>
      </c>
      <c r="AA94" s="316" t="str">
        <f t="shared" ca="1" si="53"/>
        <v/>
      </c>
      <c r="AC94" s="310" t="e">
        <f t="shared" ca="1" si="54"/>
        <v>#N/A</v>
      </c>
      <c r="AD94" s="323" t="e">
        <f t="shared" ca="1" si="55"/>
        <v>#N/A</v>
      </c>
      <c r="AE94" s="324">
        <f t="shared" ca="1" si="34"/>
        <v>24.087197251647176</v>
      </c>
      <c r="AG94" s="306">
        <f t="shared" ca="1" si="56"/>
        <v>70.902650066430198</v>
      </c>
      <c r="AH94" s="304">
        <f t="shared" ca="1" si="57"/>
        <v>80.283448741545044</v>
      </c>
    </row>
    <row r="95" spans="1:34" x14ac:dyDescent="0.2">
      <c r="A95" s="347">
        <f t="shared" ca="1" si="35"/>
        <v>0.01</v>
      </c>
      <c r="B95" s="304">
        <f t="shared" ca="1" si="36"/>
        <v>0.91000000000000059</v>
      </c>
      <c r="D95" s="306">
        <f t="shared" ca="1" si="37"/>
        <v>23.548801179942288</v>
      </c>
      <c r="E95" s="307">
        <f t="shared" ca="1" si="38"/>
        <v>67.028254314182163</v>
      </c>
      <c r="F95" s="304">
        <f t="shared" ca="1" si="39"/>
        <v>71.044583983714972</v>
      </c>
      <c r="G95" s="306">
        <f t="shared" ca="1" si="40"/>
        <v>17.535710394865575</v>
      </c>
      <c r="H95" s="307">
        <f t="shared" ca="1" si="41"/>
        <v>57.119817999502672</v>
      </c>
      <c r="I95" s="304">
        <f t="shared" ca="1" si="42"/>
        <v>59.750939300975894</v>
      </c>
      <c r="J95" s="306">
        <f t="shared" ca="1" si="43"/>
        <v>7.1179657941477554</v>
      </c>
      <c r="K95" s="307">
        <f t="shared" ca="1" si="44"/>
        <v>24.655044018926493</v>
      </c>
      <c r="L95" s="304">
        <f t="shared" ca="1" si="29"/>
        <v>25.661968603789159</v>
      </c>
      <c r="M95" s="306">
        <f t="shared" ca="1" si="45"/>
        <v>1.2729311302824484</v>
      </c>
      <c r="N95" s="304">
        <f t="shared" ca="1" si="46"/>
        <v>72.93358137600184</v>
      </c>
      <c r="P95" s="310">
        <f t="shared" ca="1" si="47"/>
        <v>8</v>
      </c>
      <c r="Q95" s="304">
        <f t="shared" ca="1" si="48"/>
        <v>1850.4249058524174</v>
      </c>
      <c r="R95" s="306">
        <f t="shared" ca="1" si="49"/>
        <v>1.1127976803644879</v>
      </c>
      <c r="S95" s="307">
        <f t="shared" ca="1" si="50"/>
        <v>22.716029977662494</v>
      </c>
      <c r="T95" s="304">
        <f t="shared" ca="1" si="30"/>
        <v>222.84425408086906</v>
      </c>
      <c r="U95" s="311">
        <f t="shared" ca="1" si="31"/>
        <v>0</v>
      </c>
      <c r="V95" s="306">
        <f t="shared" ca="1" si="32"/>
        <v>1.2219834757346089</v>
      </c>
      <c r="W95" s="304">
        <f t="shared" ca="1" si="33"/>
        <v>25.43205564090708</v>
      </c>
      <c r="Y95" s="314" t="str">
        <f t="shared" ca="1" si="51"/>
        <v/>
      </c>
      <c r="Z95" s="315" t="str">
        <f t="shared" ca="1" si="52"/>
        <v/>
      </c>
      <c r="AA95" s="316" t="str">
        <f t="shared" ca="1" si="53"/>
        <v/>
      </c>
      <c r="AC95" s="310" t="e">
        <f t="shared" ca="1" si="54"/>
        <v>#N/A</v>
      </c>
      <c r="AD95" s="323" t="e">
        <f t="shared" ca="1" si="55"/>
        <v>#N/A</v>
      </c>
      <c r="AE95" s="324">
        <f t="shared" ca="1" si="34"/>
        <v>24.655044018926493</v>
      </c>
      <c r="AG95" s="306">
        <f t="shared" ca="1" si="56"/>
        <v>70.986407180400931</v>
      </c>
      <c r="AH95" s="304">
        <f t="shared" ca="1" si="57"/>
        <v>80.365809664703718</v>
      </c>
    </row>
    <row r="96" spans="1:34" x14ac:dyDescent="0.2">
      <c r="A96" s="347">
        <f t="shared" ca="1" si="35"/>
        <v>0.01</v>
      </c>
      <c r="B96" s="304">
        <f t="shared" ca="1" si="36"/>
        <v>0.9200000000000006</v>
      </c>
      <c r="D96" s="306">
        <f t="shared" ca="1" si="37"/>
        <v>23.609868260480532</v>
      </c>
      <c r="E96" s="307">
        <f t="shared" ca="1" si="38"/>
        <v>67.095431697010014</v>
      </c>
      <c r="F96" s="304">
        <f t="shared" ca="1" si="39"/>
        <v>71.128214049597659</v>
      </c>
      <c r="G96" s="306">
        <f t="shared" ca="1" si="40"/>
        <v>17.77180907747038</v>
      </c>
      <c r="H96" s="307">
        <f t="shared" ca="1" si="41"/>
        <v>57.790772316472776</v>
      </c>
      <c r="I96" s="304">
        <f t="shared" ca="1" si="42"/>
        <v>60.461645386314579</v>
      </c>
      <c r="J96" s="306">
        <f t="shared" ca="1" si="43"/>
        <v>7.2945033915094353</v>
      </c>
      <c r="K96" s="307">
        <f t="shared" ca="1" si="44"/>
        <v>25.229596970506371</v>
      </c>
      <c r="L96" s="304">
        <f t="shared" ca="1" si="29"/>
        <v>26.262946198454713</v>
      </c>
      <c r="M96" s="306">
        <f t="shared" ca="1" si="45"/>
        <v>1.2724549540773866</v>
      </c>
      <c r="N96" s="304">
        <f t="shared" ca="1" si="46"/>
        <v>72.906298489147233</v>
      </c>
      <c r="P96" s="310">
        <f t="shared" ca="1" si="47"/>
        <v>8</v>
      </c>
      <c r="Q96" s="304">
        <f t="shared" ca="1" si="48"/>
        <v>1851.9939262086516</v>
      </c>
      <c r="R96" s="306">
        <f t="shared" ca="1" si="49"/>
        <v>1.1137412486267502</v>
      </c>
      <c r="S96" s="307">
        <f t="shared" ca="1" si="50"/>
        <v>22.704892565176227</v>
      </c>
      <c r="T96" s="304">
        <f t="shared" ca="1" si="30"/>
        <v>222.73499606437881</v>
      </c>
      <c r="U96" s="311">
        <f t="shared" ca="1" si="31"/>
        <v>0</v>
      </c>
      <c r="V96" s="306">
        <f t="shared" ca="1" si="32"/>
        <v>1.2219132682210503</v>
      </c>
      <c r="W96" s="304">
        <f t="shared" ca="1" si="33"/>
        <v>26.039159525247353</v>
      </c>
      <c r="Y96" s="314" t="str">
        <f t="shared" ca="1" si="51"/>
        <v/>
      </c>
      <c r="Z96" s="315" t="str">
        <f t="shared" ca="1" si="52"/>
        <v/>
      </c>
      <c r="AA96" s="316" t="str">
        <f t="shared" ca="1" si="53"/>
        <v/>
      </c>
      <c r="AC96" s="310" t="e">
        <f t="shared" ca="1" si="54"/>
        <v>#N/A</v>
      </c>
      <c r="AD96" s="323" t="e">
        <f t="shared" ca="1" si="55"/>
        <v>#N/A</v>
      </c>
      <c r="AE96" s="324">
        <f t="shared" ca="1" si="34"/>
        <v>25.229596970506371</v>
      </c>
      <c r="AG96" s="306">
        <f t="shared" ca="1" si="56"/>
        <v>71.069923068784846</v>
      </c>
      <c r="AH96" s="304">
        <f t="shared" ca="1" si="57"/>
        <v>80.447941575783773</v>
      </c>
    </row>
    <row r="97" spans="1:34" x14ac:dyDescent="0.2">
      <c r="A97" s="347">
        <f t="shared" ca="1" si="35"/>
        <v>0.01</v>
      </c>
      <c r="B97" s="304">
        <f t="shared" ca="1" si="36"/>
        <v>0.9300000000000006</v>
      </c>
      <c r="D97" s="306">
        <f t="shared" ca="1" si="37"/>
        <v>23.670559930343924</v>
      </c>
      <c r="E97" s="307">
        <f t="shared" ca="1" si="38"/>
        <v>67.162464287391543</v>
      </c>
      <c r="F97" s="304">
        <f t="shared" ca="1" si="39"/>
        <v>71.211600294974048</v>
      </c>
      <c r="G97" s="306">
        <f t="shared" ca="1" si="40"/>
        <v>18.008514676773817</v>
      </c>
      <c r="H97" s="307">
        <f t="shared" ca="1" si="41"/>
        <v>58.462396959346691</v>
      </c>
      <c r="I97" s="304">
        <f t="shared" ca="1" si="42"/>
        <v>61.173184150375945</v>
      </c>
      <c r="J97" s="306">
        <f t="shared" ca="1" si="43"/>
        <v>7.473405010280656</v>
      </c>
      <c r="K97" s="307">
        <f t="shared" ca="1" si="44"/>
        <v>25.810862816885468</v>
      </c>
      <c r="L97" s="304">
        <f t="shared" ca="1" si="29"/>
        <v>26.871033136069943</v>
      </c>
      <c r="M97" s="306">
        <f t="shared" ca="1" si="45"/>
        <v>1.2719835866006228</v>
      </c>
      <c r="N97" s="304">
        <f t="shared" ca="1" si="46"/>
        <v>72.879291122128933</v>
      </c>
      <c r="P97" s="310">
        <f t="shared" ca="1" si="47"/>
        <v>8</v>
      </c>
      <c r="Q97" s="304">
        <f t="shared" ca="1" si="48"/>
        <v>1853.5629465648856</v>
      </c>
      <c r="R97" s="306">
        <f t="shared" ca="1" si="49"/>
        <v>1.1146848168890124</v>
      </c>
      <c r="S97" s="307">
        <f t="shared" ca="1" si="50"/>
        <v>22.693745717007335</v>
      </c>
      <c r="T97" s="304">
        <f t="shared" ca="1" si="30"/>
        <v>222.62564548384196</v>
      </c>
      <c r="U97" s="311">
        <f t="shared" ca="1" si="31"/>
        <v>0</v>
      </c>
      <c r="V97" s="306">
        <f t="shared" ca="1" si="32"/>
        <v>1.2218422445246011</v>
      </c>
      <c r="W97" s="304">
        <f t="shared" ca="1" si="33"/>
        <v>26.654096643236379</v>
      </c>
      <c r="Y97" s="314" t="str">
        <f t="shared" ca="1" si="51"/>
        <v/>
      </c>
      <c r="Z97" s="315" t="str">
        <f t="shared" ca="1" si="52"/>
        <v/>
      </c>
      <c r="AA97" s="316" t="str">
        <f t="shared" ca="1" si="53"/>
        <v/>
      </c>
      <c r="AC97" s="310" t="e">
        <f t="shared" ca="1" si="54"/>
        <v>#N/A</v>
      </c>
      <c r="AD97" s="323" t="e">
        <f t="shared" ca="1" si="55"/>
        <v>#N/A</v>
      </c>
      <c r="AE97" s="324">
        <f t="shared" ca="1" si="34"/>
        <v>25.810862816885468</v>
      </c>
      <c r="AG97" s="306">
        <f t="shared" ca="1" si="56"/>
        <v>71.153196810924584</v>
      </c>
      <c r="AH97" s="304">
        <f t="shared" ca="1" si="57"/>
        <v>80.529843324631955</v>
      </c>
    </row>
    <row r="98" spans="1:34" x14ac:dyDescent="0.2">
      <c r="A98" s="347">
        <f t="shared" ca="1" si="35"/>
        <v>0.01</v>
      </c>
      <c r="B98" s="304">
        <f t="shared" ca="1" si="36"/>
        <v>0.94000000000000061</v>
      </c>
      <c r="D98" s="306">
        <f t="shared" ca="1" si="37"/>
        <v>23.730882230269359</v>
      </c>
      <c r="E98" s="307">
        <f t="shared" ca="1" si="38"/>
        <v>67.229349554510648</v>
      </c>
      <c r="F98" s="304">
        <f t="shared" ca="1" si="39"/>
        <v>71.294741832406515</v>
      </c>
      <c r="G98" s="306">
        <f t="shared" ca="1" si="40"/>
        <v>18.245823499076511</v>
      </c>
      <c r="H98" s="307">
        <f t="shared" ca="1" si="41"/>
        <v>59.134690454891796</v>
      </c>
      <c r="I98" s="304">
        <f t="shared" ca="1" si="42"/>
        <v>61.885553163523745</v>
      </c>
      <c r="J98" s="306">
        <f t="shared" ca="1" si="43"/>
        <v>7.6546767011599073</v>
      </c>
      <c r="K98" s="307">
        <f t="shared" ca="1" si="44"/>
        <v>26.398848253956661</v>
      </c>
      <c r="L98" s="304">
        <f t="shared" ca="1" si="29"/>
        <v>27.486237729720504</v>
      </c>
      <c r="M98" s="306">
        <f t="shared" ca="1" si="45"/>
        <v>1.2715169309238179</v>
      </c>
      <c r="N98" s="304">
        <f t="shared" ca="1" si="46"/>
        <v>72.852553721362199</v>
      </c>
      <c r="P98" s="310">
        <f t="shared" ca="1" si="47"/>
        <v>8</v>
      </c>
      <c r="Q98" s="304">
        <f t="shared" ca="1" si="48"/>
        <v>1855.1319669211198</v>
      </c>
      <c r="R98" s="306">
        <f t="shared" ca="1" si="49"/>
        <v>1.1156283851512747</v>
      </c>
      <c r="S98" s="307">
        <f t="shared" ca="1" si="50"/>
        <v>22.682589433155822</v>
      </c>
      <c r="T98" s="304">
        <f t="shared" ca="1" si="30"/>
        <v>222.51620233925863</v>
      </c>
      <c r="U98" s="311">
        <f t="shared" ca="1" si="31"/>
        <v>0</v>
      </c>
      <c r="V98" s="306">
        <f t="shared" ca="1" si="32"/>
        <v>1.2217704039696666</v>
      </c>
      <c r="W98" s="304">
        <f t="shared" ca="1" si="33"/>
        <v>27.276887540172293</v>
      </c>
      <c r="Y98" s="314" t="str">
        <f t="shared" ca="1" si="51"/>
        <v/>
      </c>
      <c r="Z98" s="315" t="str">
        <f t="shared" ca="1" si="52"/>
        <v/>
      </c>
      <c r="AA98" s="316" t="str">
        <f t="shared" ca="1" si="53"/>
        <v/>
      </c>
      <c r="AC98" s="310" t="e">
        <f t="shared" ca="1" si="54"/>
        <v>#N/A</v>
      </c>
      <c r="AD98" s="323" t="e">
        <f t="shared" ca="1" si="55"/>
        <v>#N/A</v>
      </c>
      <c r="AE98" s="324">
        <f t="shared" ca="1" si="34"/>
        <v>26.398848253956661</v>
      </c>
      <c r="AG98" s="306">
        <f t="shared" ca="1" si="56"/>
        <v>71.236227481617789</v>
      </c>
      <c r="AH98" s="304">
        <f t="shared" ca="1" si="57"/>
        <v>80.611513763289395</v>
      </c>
    </row>
    <row r="99" spans="1:34" x14ac:dyDescent="0.2">
      <c r="A99" s="347">
        <f t="shared" ca="1" si="35"/>
        <v>0.01</v>
      </c>
      <c r="B99" s="304">
        <f t="shared" ca="1" si="36"/>
        <v>0.95000000000000062</v>
      </c>
      <c r="D99" s="306">
        <f t="shared" ca="1" si="37"/>
        <v>23.790840994622428</v>
      </c>
      <c r="E99" s="307">
        <f t="shared" ca="1" si="38"/>
        <v>67.296085014455727</v>
      </c>
      <c r="F99" s="304">
        <f t="shared" ca="1" si="39"/>
        <v>71.377637769151903</v>
      </c>
      <c r="G99" s="306">
        <f t="shared" ca="1" si="40"/>
        <v>18.483731909022737</v>
      </c>
      <c r="H99" s="307">
        <f t="shared" ca="1" si="41"/>
        <v>59.807651305036352</v>
      </c>
      <c r="I99" s="304">
        <f t="shared" ca="1" si="42"/>
        <v>62.598749986796399</v>
      </c>
      <c r="J99" s="306">
        <f t="shared" ca="1" si="43"/>
        <v>7.8383244782004038</v>
      </c>
      <c r="K99" s="307">
        <f t="shared" ca="1" si="44"/>
        <v>26.993559962756301</v>
      </c>
      <c r="L99" s="304">
        <f t="shared" ca="1" si="29"/>
        <v>28.108568268207392</v>
      </c>
      <c r="M99" s="306">
        <f t="shared" ca="1" si="45"/>
        <v>1.2710548930741392</v>
      </c>
      <c r="N99" s="304">
        <f t="shared" ca="1" si="46"/>
        <v>72.82608090260031</v>
      </c>
      <c r="P99" s="310">
        <f t="shared" ca="1" si="47"/>
        <v>8</v>
      </c>
      <c r="Q99" s="304">
        <f t="shared" ca="1" si="48"/>
        <v>1856.7009872773538</v>
      </c>
      <c r="R99" s="306">
        <f t="shared" ca="1" si="49"/>
        <v>1.116571953413537</v>
      </c>
      <c r="S99" s="307">
        <f t="shared" ca="1" si="50"/>
        <v>22.671423713621689</v>
      </c>
      <c r="T99" s="304">
        <f t="shared" ca="1" si="30"/>
        <v>222.40666663062879</v>
      </c>
      <c r="U99" s="311">
        <f t="shared" ca="1" si="31"/>
        <v>0</v>
      </c>
      <c r="V99" s="306">
        <f t="shared" ca="1" si="32"/>
        <v>1.2216977458842866</v>
      </c>
      <c r="W99" s="304">
        <f t="shared" ca="1" si="33"/>
        <v>27.907552645364007</v>
      </c>
      <c r="Y99" s="314" t="str">
        <f t="shared" ca="1" si="51"/>
        <v/>
      </c>
      <c r="Z99" s="315" t="str">
        <f t="shared" ca="1" si="52"/>
        <v/>
      </c>
      <c r="AA99" s="316" t="str">
        <f t="shared" ca="1" si="53"/>
        <v/>
      </c>
      <c r="AC99" s="310" t="e">
        <f t="shared" ca="1" si="54"/>
        <v>#N/A</v>
      </c>
      <c r="AD99" s="323" t="e">
        <f t="shared" ca="1" si="55"/>
        <v>#N/A</v>
      </c>
      <c r="AE99" s="324">
        <f t="shared" ca="1" si="34"/>
        <v>26.993559962756301</v>
      </c>
      <c r="AG99" s="306">
        <f t="shared" ca="1" si="56"/>
        <v>71.31901415142957</v>
      </c>
      <c r="AH99" s="304">
        <f t="shared" ca="1" si="57"/>
        <v>80.69295174603468</v>
      </c>
    </row>
    <row r="100" spans="1:34" x14ac:dyDescent="0.2">
      <c r="A100" s="347">
        <f t="shared" ca="1" si="35"/>
        <v>0.01</v>
      </c>
      <c r="B100" s="304">
        <f t="shared" ca="1" si="36"/>
        <v>0.96000000000000063</v>
      </c>
      <c r="D100" s="306">
        <f t="shared" ca="1" si="37"/>
        <v>23.850441860081652</v>
      </c>
      <c r="E100" s="307">
        <f t="shared" ca="1" si="38"/>
        <v>67.362668228459739</v>
      </c>
      <c r="F100" s="304">
        <f t="shared" ca="1" si="39"/>
        <v>71.460287207502006</v>
      </c>
      <c r="G100" s="306">
        <f t="shared" ca="1" si="40"/>
        <v>18.722236327623552</v>
      </c>
      <c r="H100" s="307">
        <f t="shared" ca="1" si="41"/>
        <v>60.481277987320951</v>
      </c>
      <c r="I100" s="304">
        <f t="shared" ca="1" si="42"/>
        <v>63.312772171868936</v>
      </c>
      <c r="J100" s="306">
        <f t="shared" ca="1" si="43"/>
        <v>8.0243543193836349</v>
      </c>
      <c r="K100" s="307">
        <f t="shared" ca="1" si="44"/>
        <v>27.595004609218087</v>
      </c>
      <c r="L100" s="304">
        <f t="shared" ca="1" si="29"/>
        <v>28.73803301594906</v>
      </c>
      <c r="M100" s="306">
        <f t="shared" ca="1" si="45"/>
        <v>1.2705973819136704</v>
      </c>
      <c r="N100" s="304">
        <f t="shared" ca="1" si="46"/>
        <v>72.79986744402531</v>
      </c>
      <c r="P100" s="310">
        <f t="shared" ca="1" si="47"/>
        <v>8</v>
      </c>
      <c r="Q100" s="304">
        <f t="shared" ca="1" si="48"/>
        <v>1858.270007633588</v>
      </c>
      <c r="R100" s="306">
        <f t="shared" ca="1" si="49"/>
        <v>1.1175155216757993</v>
      </c>
      <c r="S100" s="307">
        <f t="shared" ca="1" si="50"/>
        <v>22.66024855840493</v>
      </c>
      <c r="T100" s="304">
        <f t="shared" ca="1" si="30"/>
        <v>222.29703835795237</v>
      </c>
      <c r="U100" s="311">
        <f t="shared" ca="1" si="31"/>
        <v>0</v>
      </c>
      <c r="V100" s="306">
        <f t="shared" ca="1" si="32"/>
        <v>1.221624269600168</v>
      </c>
      <c r="W100" s="304">
        <f t="shared" ca="1" si="33"/>
        <v>28.546112271170362</v>
      </c>
      <c r="Y100" s="314" t="str">
        <f t="shared" ca="1" si="51"/>
        <v/>
      </c>
      <c r="Z100" s="315" t="str">
        <f t="shared" ca="1" si="52"/>
        <v/>
      </c>
      <c r="AA100" s="316" t="str">
        <f t="shared" ca="1" si="53"/>
        <v/>
      </c>
      <c r="AC100" s="310" t="e">
        <f t="shared" ca="1" si="54"/>
        <v>#N/A</v>
      </c>
      <c r="AD100" s="323" t="e">
        <f t="shared" ca="1" si="55"/>
        <v>#N/A</v>
      </c>
      <c r="AE100" s="324">
        <f t="shared" ca="1" si="34"/>
        <v>27.595004609218087</v>
      </c>
      <c r="AG100" s="306">
        <f t="shared" ca="1" si="56"/>
        <v>71.401555886991545</v>
      </c>
      <c r="AH100" s="304">
        <f t="shared" ca="1" si="57"/>
        <v>80.774156129427041</v>
      </c>
    </row>
    <row r="101" spans="1:34" x14ac:dyDescent="0.2">
      <c r="A101" s="347">
        <f t="shared" ca="1" si="35"/>
        <v>0.01</v>
      </c>
      <c r="B101" s="304">
        <f t="shared" ca="1" si="36"/>
        <v>0.97000000000000064</v>
      </c>
      <c r="D101" s="306">
        <f t="shared" ca="1" si="37"/>
        <v>23.909690273872716</v>
      </c>
      <c r="E101" s="307">
        <f t="shared" ca="1" si="38"/>
        <v>67.429096801231054</v>
      </c>
      <c r="F101" s="304">
        <f t="shared" ca="1" si="39"/>
        <v>71.542689245109543</v>
      </c>
      <c r="G101" s="306">
        <f t="shared" ca="1" si="40"/>
        <v>18.961333230362278</v>
      </c>
      <c r="H101" s="307">
        <f t="shared" ca="1" si="41"/>
        <v>61.155568955333258</v>
      </c>
      <c r="I101" s="304">
        <f t="shared" ca="1" si="42"/>
        <v>64.027617261017625</v>
      </c>
      <c r="J101" s="306">
        <f t="shared" ca="1" si="43"/>
        <v>8.2127721671735632</v>
      </c>
      <c r="K101" s="307">
        <f t="shared" ca="1" si="44"/>
        <v>28.203188843931358</v>
      </c>
      <c r="L101" s="304">
        <f t="shared" ca="1" si="29"/>
        <v>29.374640212883545</v>
      </c>
      <c r="M101" s="306">
        <f t="shared" ca="1" si="45"/>
        <v>1.2701443090249571</v>
      </c>
      <c r="N101" s="304">
        <f t="shared" ca="1" si="46"/>
        <v>72.773908279690247</v>
      </c>
      <c r="P101" s="310">
        <f t="shared" ca="1" si="47"/>
        <v>8</v>
      </c>
      <c r="Q101" s="304">
        <f t="shared" ca="1" si="48"/>
        <v>1859.8390279898222</v>
      </c>
      <c r="R101" s="306">
        <f t="shared" ca="1" si="49"/>
        <v>1.1184590899380615</v>
      </c>
      <c r="S101" s="307">
        <f t="shared" ca="1" si="50"/>
        <v>22.649063967505551</v>
      </c>
      <c r="T101" s="304">
        <f t="shared" ca="1" si="30"/>
        <v>222.18731752122946</v>
      </c>
      <c r="U101" s="311">
        <f t="shared" ca="1" si="31"/>
        <v>0</v>
      </c>
      <c r="V101" s="306">
        <f t="shared" ca="1" si="32"/>
        <v>1.2215499744527198</v>
      </c>
      <c r="W101" s="304">
        <f t="shared" ca="1" si="33"/>
        <v>29.192586612039968</v>
      </c>
      <c r="Y101" s="314" t="str">
        <f t="shared" ca="1" si="51"/>
        <v/>
      </c>
      <c r="Z101" s="315" t="str">
        <f t="shared" ca="1" si="52"/>
        <v/>
      </c>
      <c r="AA101" s="316" t="str">
        <f t="shared" ca="1" si="53"/>
        <v/>
      </c>
      <c r="AC101" s="310" t="e">
        <f t="shared" ca="1" si="54"/>
        <v>#N/A</v>
      </c>
      <c r="AD101" s="323" t="e">
        <f t="shared" ca="1" si="55"/>
        <v>#N/A</v>
      </c>
      <c r="AE101" s="324">
        <f t="shared" ca="1" si="34"/>
        <v>28.203188843931358</v>
      </c>
      <c r="AG101" s="306">
        <f t="shared" ca="1" si="56"/>
        <v>71.483851751288086</v>
      </c>
      <c r="AH101" s="304">
        <f t="shared" ca="1" si="57"/>
        <v>80.855125772349552</v>
      </c>
    </row>
    <row r="102" spans="1:34" x14ac:dyDescent="0.2">
      <c r="A102" s="347">
        <f t="shared" ca="1" si="35"/>
        <v>0.01</v>
      </c>
      <c r="B102" s="304">
        <f t="shared" ca="1" si="36"/>
        <v>0.98000000000000065</v>
      </c>
      <c r="D102" s="306">
        <f t="shared" ca="1" si="37"/>
        <v>23.96859150158069</v>
      </c>
      <c r="E102" s="307">
        <f t="shared" ca="1" si="38"/>
        <v>67.49536837936931</v>
      </c>
      <c r="F102" s="304">
        <f t="shared" ca="1" si="39"/>
        <v>71.624842975300211</v>
      </c>
      <c r="G102" s="306">
        <f t="shared" ca="1" si="40"/>
        <v>19.201019145378087</v>
      </c>
      <c r="H102" s="307">
        <f t="shared" ca="1" si="41"/>
        <v>61.830522639126954</v>
      </c>
      <c r="I102" s="304">
        <f t="shared" ca="1" si="42"/>
        <v>64.743282787087395</v>
      </c>
      <c r="J102" s="306">
        <f t="shared" ca="1" si="43"/>
        <v>8.4035839290522656</v>
      </c>
      <c r="K102" s="307">
        <f t="shared" ca="1" si="44"/>
        <v>28.818119301903657</v>
      </c>
      <c r="L102" s="304">
        <f t="shared" ca="1" si="29"/>
        <v>30.018398074370616</v>
      </c>
      <c r="M102" s="306">
        <f t="shared" ca="1" si="45"/>
        <v>1.2696955886023165</v>
      </c>
      <c r="N102" s="304">
        <f t="shared" ca="1" si="46"/>
        <v>72.748198493291611</v>
      </c>
      <c r="P102" s="310">
        <f t="shared" ca="1" si="47"/>
        <v>8</v>
      </c>
      <c r="Q102" s="304">
        <f t="shared" ca="1" si="48"/>
        <v>1861.4080483460561</v>
      </c>
      <c r="R102" s="306">
        <f t="shared" ca="1" si="49"/>
        <v>1.1194026582003238</v>
      </c>
      <c r="S102" s="307">
        <f t="shared" ca="1" si="50"/>
        <v>22.637869940923547</v>
      </c>
      <c r="T102" s="304">
        <f t="shared" ca="1" si="30"/>
        <v>222.07750412046002</v>
      </c>
      <c r="U102" s="311">
        <f t="shared" ca="1" si="31"/>
        <v>0</v>
      </c>
      <c r="V102" s="306">
        <f t="shared" ca="1" si="32"/>
        <v>1.2214748597810861</v>
      </c>
      <c r="W102" s="304">
        <f t="shared" ca="1" si="33"/>
        <v>29.846995743551901</v>
      </c>
      <c r="Y102" s="314" t="str">
        <f t="shared" ca="1" si="51"/>
        <v/>
      </c>
      <c r="Z102" s="315" t="str">
        <f t="shared" ca="1" si="52"/>
        <v/>
      </c>
      <c r="AA102" s="316" t="str">
        <f t="shared" ca="1" si="53"/>
        <v/>
      </c>
      <c r="AC102" s="310" t="e">
        <f t="shared" ca="1" si="54"/>
        <v>#N/A</v>
      </c>
      <c r="AD102" s="323" t="e">
        <f t="shared" ca="1" si="55"/>
        <v>#N/A</v>
      </c>
      <c r="AE102" s="324">
        <f t="shared" ca="1" si="34"/>
        <v>28.818119301903657</v>
      </c>
      <c r="AG102" s="306">
        <f t="shared" ca="1" si="56"/>
        <v>71.565900803930901</v>
      </c>
      <c r="AH102" s="304">
        <f t="shared" ca="1" si="57"/>
        <v>80.935859536052618</v>
      </c>
    </row>
    <row r="103" spans="1:34" x14ac:dyDescent="0.2">
      <c r="A103" s="347">
        <f t="shared" ca="1" si="35"/>
        <v>0.01</v>
      </c>
      <c r="B103" s="304">
        <f t="shared" ca="1" si="36"/>
        <v>0.99000000000000066</v>
      </c>
      <c r="D103" s="306">
        <f t="shared" ca="1" si="37"/>
        <v>24.027150634565917</v>
      </c>
      <c r="E103" s="307">
        <f t="shared" ca="1" si="38"/>
        <v>67.561480649861522</v>
      </c>
      <c r="F103" s="304">
        <f t="shared" ca="1" si="39"/>
        <v>71.706747487372027</v>
      </c>
      <c r="G103" s="306">
        <f t="shared" ca="1" si="40"/>
        <v>19.441290651723747</v>
      </c>
      <c r="H103" s="307">
        <f t="shared" ca="1" si="41"/>
        <v>62.506137445625569</v>
      </c>
      <c r="I103" s="304">
        <f t="shared" ca="1" si="42"/>
        <v>65.45976627346171</v>
      </c>
      <c r="J103" s="306">
        <f t="shared" ca="1" si="43"/>
        <v>8.5967954780377749</v>
      </c>
      <c r="K103" s="307">
        <f t="shared" ca="1" si="44"/>
        <v>29.439802602327418</v>
      </c>
      <c r="L103" s="304">
        <f t="shared" ca="1" si="29"/>
        <v>30.669314791093964</v>
      </c>
      <c r="M103" s="306">
        <f t="shared" ca="1" si="45"/>
        <v>1.2692511373485649</v>
      </c>
      <c r="N103" s="304">
        <f t="shared" ca="1" si="46"/>
        <v>72.722733312252345</v>
      </c>
      <c r="P103" s="310">
        <f t="shared" ca="1" si="47"/>
        <v>8</v>
      </c>
      <c r="Q103" s="304">
        <f t="shared" ca="1" si="48"/>
        <v>1862.9770687022904</v>
      </c>
      <c r="R103" s="306">
        <f t="shared" ca="1" si="49"/>
        <v>1.1203462264625861</v>
      </c>
      <c r="S103" s="307">
        <f t="shared" ca="1" si="50"/>
        <v>22.626666478658922</v>
      </c>
      <c r="T103" s="304">
        <f t="shared" ca="1" si="30"/>
        <v>221.96759815564403</v>
      </c>
      <c r="U103" s="311">
        <f t="shared" ca="1" si="31"/>
        <v>0</v>
      </c>
      <c r="V103" s="306">
        <f t="shared" ca="1" si="32"/>
        <v>1.2213989249281787</v>
      </c>
      <c r="W103" s="304">
        <f t="shared" ca="1" si="33"/>
        <v>30.509359621457229</v>
      </c>
      <c r="Y103" s="314" t="str">
        <f t="shared" ca="1" si="51"/>
        <v/>
      </c>
      <c r="Z103" s="315" t="str">
        <f t="shared" ca="1" si="52"/>
        <v/>
      </c>
      <c r="AA103" s="316" t="str">
        <f t="shared" ca="1" si="53"/>
        <v/>
      </c>
      <c r="AC103" s="310" t="e">
        <f t="shared" ca="1" si="54"/>
        <v>#N/A</v>
      </c>
      <c r="AD103" s="323" t="e">
        <f t="shared" ca="1" si="55"/>
        <v>#N/A</v>
      </c>
      <c r="AE103" s="324">
        <f t="shared" ca="1" si="34"/>
        <v>29.439802602327418</v>
      </c>
      <c r="AG103" s="306">
        <f t="shared" ca="1" si="56"/>
        <v>71.647702101422368</v>
      </c>
      <c r="AH103" s="304">
        <f t="shared" ca="1" si="57"/>
        <v>81.016356284197443</v>
      </c>
    </row>
    <row r="104" spans="1:34" x14ac:dyDescent="0.2">
      <c r="A104" s="347">
        <f t="shared" ca="1" si="35"/>
        <v>0.01</v>
      </c>
      <c r="B104" s="304">
        <f t="shared" ca="1" si="36"/>
        <v>1.0000000000000007</v>
      </c>
      <c r="D104" s="306">
        <f t="shared" ca="1" si="37"/>
        <v>24.085372597007591</v>
      </c>
      <c r="E104" s="307">
        <f t="shared" ca="1" si="38"/>
        <v>67.627431338653309</v>
      </c>
      <c r="F104" s="304">
        <f t="shared" ca="1" si="39"/>
        <v>71.78840186688204</v>
      </c>
      <c r="G104" s="306">
        <f t="shared" ca="1" si="40"/>
        <v>19.682144377693824</v>
      </c>
      <c r="H104" s="307">
        <f t="shared" ca="1" si="41"/>
        <v>63.182411759012105</v>
      </c>
      <c r="I104" s="304">
        <f t="shared" ca="1" si="42"/>
        <v>66.177065234035098</v>
      </c>
      <c r="J104" s="306">
        <f t="shared" ca="1" si="43"/>
        <v>8.7924126531848632</v>
      </c>
      <c r="K104" s="307">
        <f t="shared" ca="1" si="44"/>
        <v>30.068245348350608</v>
      </c>
      <c r="L104" s="304">
        <f t="shared" ca="1" si="29"/>
        <v>31.327398528963322</v>
      </c>
      <c r="M104" s="306">
        <f t="shared" ca="1" si="45"/>
        <v>1.26881087437684</v>
      </c>
      <c r="N104" s="304">
        <f t="shared" ca="1" si="46"/>
        <v>72.69750810209662</v>
      </c>
      <c r="P104" s="310">
        <f t="shared" ca="1" si="47"/>
        <v>8</v>
      </c>
      <c r="Q104" s="304">
        <f t="shared" ca="1" si="48"/>
        <v>1864.5460890585243</v>
      </c>
      <c r="R104" s="306">
        <f t="shared" ca="1" si="49"/>
        <v>1.1212897947248481</v>
      </c>
      <c r="S104" s="307">
        <f t="shared" ca="1" si="50"/>
        <v>22.615453580711673</v>
      </c>
      <c r="T104" s="304">
        <f t="shared" ca="1" si="30"/>
        <v>221.85759962678154</v>
      </c>
      <c r="U104" s="311">
        <f t="shared" ca="1" si="31"/>
        <v>0</v>
      </c>
      <c r="V104" s="306">
        <f t="shared" ca="1" si="32"/>
        <v>1.2213221692407084</v>
      </c>
      <c r="W104" s="304">
        <f t="shared" ca="1" si="33"/>
        <v>31.17969808072165</v>
      </c>
      <c r="Y104" s="314" t="str">
        <f t="shared" ca="1" si="51"/>
        <v/>
      </c>
      <c r="Z104" s="315" t="str">
        <f t="shared" ca="1" si="52"/>
        <v/>
      </c>
      <c r="AA104" s="316" t="str">
        <f t="shared" ca="1" si="53"/>
        <v/>
      </c>
      <c r="AC104" s="310">
        <f t="shared" ca="1" si="54"/>
        <v>1.0000000000000007</v>
      </c>
      <c r="AD104" s="323">
        <f t="shared" ca="1" si="55"/>
        <v>8.7924126531848632</v>
      </c>
      <c r="AE104" s="324">
        <f t="shared" ca="1" si="34"/>
        <v>30.068245348350608</v>
      </c>
      <c r="AG104" s="306">
        <f t="shared" ca="1" si="56"/>
        <v>71.729254697408351</v>
      </c>
      <c r="AH104" s="304">
        <f t="shared" ca="1" si="57"/>
        <v>81.096614882899587</v>
      </c>
    </row>
    <row r="105" spans="1:34" x14ac:dyDescent="0.2">
      <c r="A105" s="347">
        <f t="shared" ca="1" si="35"/>
        <v>0.01</v>
      </c>
      <c r="B105" s="304">
        <f t="shared" ca="1" si="36"/>
        <v>1.0100000000000007</v>
      </c>
      <c r="D105" s="306">
        <f t="shared" ca="1" si="37"/>
        <v>24.143262152597384</v>
      </c>
      <c r="E105" s="307">
        <f t="shared" ca="1" si="38"/>
        <v>67.693218209291331</v>
      </c>
      <c r="F105" s="304">
        <f t="shared" ca="1" si="39"/>
        <v>71.86980519592197</v>
      </c>
      <c r="G105" s="306">
        <f t="shared" ca="1" si="40"/>
        <v>19.923576999219797</v>
      </c>
      <c r="H105" s="307">
        <f t="shared" ca="1" si="41"/>
        <v>63.859343941105017</v>
      </c>
      <c r="I105" s="304">
        <f t="shared" ca="1" si="42"/>
        <v>66.895177173187804</v>
      </c>
      <c r="J105" s="306">
        <f t="shared" ca="1" si="43"/>
        <v>8.9904412600694315</v>
      </c>
      <c r="K105" s="307">
        <f t="shared" ca="1" si="44"/>
        <v>30.703454126851195</v>
      </c>
      <c r="L105" s="304">
        <f t="shared" ca="1" si="29"/>
        <v>31.992657429016653</v>
      </c>
      <c r="M105" s="306">
        <f t="shared" ca="1" si="45"/>
        <v>1.2683747211172176</v>
      </c>
      <c r="N105" s="304">
        <f t="shared" ca="1" si="46"/>
        <v>72.672518361099378</v>
      </c>
      <c r="P105" s="310">
        <f t="shared" ca="1" si="47"/>
        <v>8</v>
      </c>
      <c r="Q105" s="304">
        <f t="shared" ca="1" si="48"/>
        <v>1866.1151094147585</v>
      </c>
      <c r="R105" s="306">
        <f t="shared" ca="1" si="49"/>
        <v>1.1222333629871106</v>
      </c>
      <c r="S105" s="307">
        <f t="shared" ca="1" si="50"/>
        <v>22.604231247081803</v>
      </c>
      <c r="T105" s="304">
        <f t="shared" ca="1" si="30"/>
        <v>221.74750853387249</v>
      </c>
      <c r="U105" s="311">
        <f t="shared" ca="1" si="31"/>
        <v>0</v>
      </c>
      <c r="V105" s="306">
        <f t="shared" ca="1" si="32"/>
        <v>1.2212445920692174</v>
      </c>
      <c r="W105" s="304">
        <f t="shared" ca="1" si="33"/>
        <v>31.858030834569156</v>
      </c>
      <c r="Y105" s="314" t="str">
        <f t="shared" ca="1" si="51"/>
        <v/>
      </c>
      <c r="Z105" s="315" t="str">
        <f t="shared" ca="1" si="52"/>
        <v/>
      </c>
      <c r="AA105" s="316" t="str">
        <f t="shared" ca="1" si="53"/>
        <v/>
      </c>
      <c r="AC105" s="310" t="e">
        <f t="shared" ca="1" si="54"/>
        <v>#N/A</v>
      </c>
      <c r="AD105" s="323" t="e">
        <f t="shared" ca="1" si="55"/>
        <v>#N/A</v>
      </c>
      <c r="AE105" s="324">
        <f t="shared" ca="1" si="34"/>
        <v>30.703454126851195</v>
      </c>
      <c r="AG105" s="306">
        <f t="shared" ca="1" si="56"/>
        <v>71.810557642921211</v>
      </c>
      <c r="AH105" s="304">
        <f t="shared" ca="1" si="57"/>
        <v>81.176634200772753</v>
      </c>
    </row>
    <row r="106" spans="1:34" x14ac:dyDescent="0.2">
      <c r="A106" s="347">
        <f t="shared" ca="1" si="35"/>
        <v>0.01</v>
      </c>
      <c r="B106" s="304">
        <f t="shared" ca="1" si="36"/>
        <v>1.0200000000000007</v>
      </c>
      <c r="D106" s="306">
        <f t="shared" ca="1" si="37"/>
        <v>24.200823910903761</v>
      </c>
      <c r="E106" s="307">
        <f t="shared" ca="1" si="38"/>
        <v>67.758839061632415</v>
      </c>
      <c r="F106" s="304">
        <f t="shared" ca="1" si="39"/>
        <v>71.950956553382767</v>
      </c>
      <c r="G106" s="306">
        <f t="shared" ca="1" si="40"/>
        <v>20.165585238328834</v>
      </c>
      <c r="H106" s="307">
        <f t="shared" ca="1" si="41"/>
        <v>64.536932331721346</v>
      </c>
      <c r="I106" s="304">
        <f t="shared" ca="1" si="42"/>
        <v>67.614099585763071</v>
      </c>
      <c r="J106" s="306">
        <f t="shared" ca="1" si="43"/>
        <v>9.1908870712571744</v>
      </c>
      <c r="K106" s="307">
        <f t="shared" ca="1" si="44"/>
        <v>31.345435508215328</v>
      </c>
      <c r="L106" s="304">
        <f t="shared" ca="1" si="29"/>
        <v>32.665099607322318</v>
      </c>
      <c r="M106" s="306">
        <f t="shared" ca="1" si="45"/>
        <v>1.2679426012278434</v>
      </c>
      <c r="N106" s="304">
        <f t="shared" ca="1" si="46"/>
        <v>72.647759715194582</v>
      </c>
      <c r="P106" s="310">
        <f t="shared" ca="1" si="47"/>
        <v>8</v>
      </c>
      <c r="Q106" s="304">
        <f t="shared" ca="1" si="48"/>
        <v>1867.6841297709925</v>
      </c>
      <c r="R106" s="306">
        <f t="shared" ca="1" si="49"/>
        <v>1.1231769312493727</v>
      </c>
      <c r="S106" s="307">
        <f t="shared" ca="1" si="50"/>
        <v>22.592999477769308</v>
      </c>
      <c r="T106" s="304">
        <f t="shared" ca="1" si="30"/>
        <v>221.63732487691692</v>
      </c>
      <c r="U106" s="311">
        <f t="shared" ca="1" si="31"/>
        <v>0</v>
      </c>
      <c r="V106" s="306">
        <f t="shared" ca="1" si="32"/>
        <v>1.2211661927681108</v>
      </c>
      <c r="W106" s="304">
        <f t="shared" ca="1" si="33"/>
        <v>32.544377473527184</v>
      </c>
      <c r="Y106" s="314" t="str">
        <f t="shared" ca="1" si="51"/>
        <v/>
      </c>
      <c r="Z106" s="315" t="str">
        <f t="shared" ca="1" si="52"/>
        <v/>
      </c>
      <c r="AA106" s="316" t="str">
        <f t="shared" ca="1" si="53"/>
        <v/>
      </c>
      <c r="AC106" s="310" t="e">
        <f t="shared" ca="1" si="54"/>
        <v>#N/A</v>
      </c>
      <c r="AD106" s="323" t="e">
        <f t="shared" ca="1" si="55"/>
        <v>#N/A</v>
      </c>
      <c r="AE106" s="324">
        <f t="shared" ca="1" si="34"/>
        <v>31.345435508215328</v>
      </c>
      <c r="AG106" s="306">
        <f t="shared" ca="1" si="56"/>
        <v>71.891609986613332</v>
      </c>
      <c r="AH106" s="304">
        <f t="shared" ca="1" si="57"/>
        <v>81.256413108972524</v>
      </c>
    </row>
    <row r="107" spans="1:34" x14ac:dyDescent="0.2">
      <c r="A107" s="347">
        <f t="shared" ca="1" si="35"/>
        <v>0.01</v>
      </c>
      <c r="B107" s="304">
        <f t="shared" ca="1" si="36"/>
        <v>1.0300000000000007</v>
      </c>
      <c r="D107" s="306">
        <f t="shared" ca="1" si="37"/>
        <v>24.258062333426448</v>
      </c>
      <c r="E107" s="307">
        <f t="shared" ca="1" si="38"/>
        <v>67.82429173061584</v>
      </c>
      <c r="F107" s="304">
        <f t="shared" ca="1" si="39"/>
        <v>72.03185501520899</v>
      </c>
      <c r="G107" s="306">
        <f t="shared" ca="1" si="40"/>
        <v>20.4081658616631</v>
      </c>
      <c r="H107" s="307">
        <f t="shared" ca="1" si="41"/>
        <v>65.21517524902751</v>
      </c>
      <c r="I107" s="304">
        <f t="shared" ca="1" si="42"/>
        <v>68.333829957046319</v>
      </c>
      <c r="J107" s="306">
        <f t="shared" ca="1" si="43"/>
        <v>9.3937558267571344</v>
      </c>
      <c r="K107" s="307">
        <f t="shared" ca="1" si="44"/>
        <v>31.994196046119072</v>
      </c>
      <c r="L107" s="304">
        <f t="shared" ca="1" si="29"/>
        <v>33.344733154881219</v>
      </c>
      <c r="M107" s="306">
        <f t="shared" ca="1" si="45"/>
        <v>1.2675144405103194</v>
      </c>
      <c r="N107" s="304">
        <f t="shared" ca="1" si="46"/>
        <v>72.623227913127153</v>
      </c>
      <c r="P107" s="310">
        <f t="shared" ca="1" si="47"/>
        <v>8</v>
      </c>
      <c r="Q107" s="304">
        <f t="shared" ca="1" si="48"/>
        <v>1869.2531501272267</v>
      </c>
      <c r="R107" s="306">
        <f t="shared" ca="1" si="49"/>
        <v>1.124120499511635</v>
      </c>
      <c r="S107" s="307">
        <f t="shared" ca="1" si="50"/>
        <v>22.581758272774191</v>
      </c>
      <c r="T107" s="304">
        <f t="shared" ca="1" si="30"/>
        <v>221.52704865591483</v>
      </c>
      <c r="U107" s="311">
        <f t="shared" ca="1" si="31"/>
        <v>0</v>
      </c>
      <c r="V107" s="306">
        <f t="shared" ca="1" si="32"/>
        <v>1.2210869706956855</v>
      </c>
      <c r="W107" s="304">
        <f t="shared" ca="1" si="33"/>
        <v>33.238757464472805</v>
      </c>
      <c r="Y107" s="314" t="str">
        <f t="shared" ca="1" si="51"/>
        <v/>
      </c>
      <c r="Z107" s="315" t="str">
        <f t="shared" ca="1" si="52"/>
        <v/>
      </c>
      <c r="AA107" s="316" t="str">
        <f t="shared" ca="1" si="53"/>
        <v/>
      </c>
      <c r="AC107" s="310" t="e">
        <f t="shared" ca="1" si="54"/>
        <v>#N/A</v>
      </c>
      <c r="AD107" s="323" t="e">
        <f t="shared" ca="1" si="55"/>
        <v>#N/A</v>
      </c>
      <c r="AE107" s="324">
        <f t="shared" ca="1" si="34"/>
        <v>31.994196046119072</v>
      </c>
      <c r="AG107" s="306">
        <f t="shared" ca="1" si="56"/>
        <v>71.972410774982109</v>
      </c>
      <c r="AH107" s="304">
        <f t="shared" ca="1" si="57"/>
        <v>81.335950481240275</v>
      </c>
    </row>
    <row r="108" spans="1:34" x14ac:dyDescent="0.2">
      <c r="A108" s="347">
        <f t="shared" ca="1" si="35"/>
        <v>0.01</v>
      </c>
      <c r="B108" s="304">
        <f t="shared" ca="1" si="36"/>
        <v>1.0400000000000007</v>
      </c>
      <c r="D108" s="306">
        <f t="shared" ca="1" si="37"/>
        <v>24.314981739358984</v>
      </c>
      <c r="E108" s="307">
        <f t="shared" ca="1" si="38"/>
        <v>67.889574085095035</v>
      </c>
      <c r="F108" s="304">
        <f t="shared" ca="1" si="39"/>
        <v>72.112499654643571</v>
      </c>
      <c r="G108" s="306">
        <f t="shared" ca="1" si="40"/>
        <v>20.65131567905669</v>
      </c>
      <c r="H108" s="307">
        <f t="shared" ca="1" si="41"/>
        <v>65.894070989878458</v>
      </c>
      <c r="I108" s="304">
        <f t="shared" ca="1" si="42"/>
        <v>69.054365762746627</v>
      </c>
      <c r="J108" s="306">
        <f t="shared" ca="1" si="43"/>
        <v>9.5990532344607331</v>
      </c>
      <c r="K108" s="307">
        <f t="shared" ca="1" si="44"/>
        <v>32.649742277313599</v>
      </c>
      <c r="L108" s="304">
        <f t="shared" ca="1" si="29"/>
        <v>34.031566137528998</v>
      </c>
      <c r="M108" s="306">
        <f t="shared" ca="1" si="45"/>
        <v>1.2670901668291006</v>
      </c>
      <c r="N108" s="304">
        <f t="shared" ca="1" si="46"/>
        <v>72.598918821834843</v>
      </c>
      <c r="P108" s="310">
        <f t="shared" ca="1" si="47"/>
        <v>8</v>
      </c>
      <c r="Q108" s="304">
        <f t="shared" ca="1" si="48"/>
        <v>1870.8221704834607</v>
      </c>
      <c r="R108" s="306">
        <f t="shared" ca="1" si="49"/>
        <v>1.1250640677738972</v>
      </c>
      <c r="S108" s="307">
        <f t="shared" ca="1" si="50"/>
        <v>22.570507632096451</v>
      </c>
      <c r="T108" s="304">
        <f t="shared" ca="1" si="30"/>
        <v>221.4166798708662</v>
      </c>
      <c r="U108" s="311">
        <f t="shared" ca="1" si="31"/>
        <v>0</v>
      </c>
      <c r="V108" s="306">
        <f t="shared" ca="1" si="32"/>
        <v>1.2210069252141618</v>
      </c>
      <c r="W108" s="304">
        <f t="shared" ca="1" si="33"/>
        <v>33.941190149680587</v>
      </c>
      <c r="Y108" s="314" t="str">
        <f t="shared" ca="1" si="51"/>
        <v/>
      </c>
      <c r="Z108" s="315" t="str">
        <f t="shared" ca="1" si="52"/>
        <v/>
      </c>
      <c r="AA108" s="316" t="str">
        <f t="shared" ca="1" si="53"/>
        <v/>
      </c>
      <c r="AC108" s="310" t="e">
        <f t="shared" ca="1" si="54"/>
        <v>#N/A</v>
      </c>
      <c r="AD108" s="323" t="e">
        <f t="shared" ca="1" si="55"/>
        <v>#N/A</v>
      </c>
      <c r="AE108" s="324">
        <f t="shared" ca="1" si="34"/>
        <v>32.649742277313599</v>
      </c>
      <c r="AG108" s="306">
        <f t="shared" ca="1" si="56"/>
        <v>72.052959052586345</v>
      </c>
      <c r="AH108" s="304">
        <f t="shared" ca="1" si="57"/>
        <v>81.415245193947143</v>
      </c>
    </row>
    <row r="109" spans="1:34" x14ac:dyDescent="0.2">
      <c r="A109" s="347">
        <f t="shared" ca="1" si="35"/>
        <v>0.01</v>
      </c>
      <c r="B109" s="304">
        <f t="shared" ca="1" si="36"/>
        <v>1.0500000000000007</v>
      </c>
      <c r="D109" s="306">
        <f t="shared" ca="1" si="37"/>
        <v>24.371586311076207</v>
      </c>
      <c r="E109" s="307">
        <f t="shared" ca="1" si="38"/>
        <v>67.954684026725474</v>
      </c>
      <c r="F109" s="304">
        <f t="shared" ca="1" si="39"/>
        <v>72.192889542463504</v>
      </c>
      <c r="G109" s="306">
        <f t="shared" ca="1" si="40"/>
        <v>20.895031542167452</v>
      </c>
      <c r="H109" s="307">
        <f t="shared" ca="1" si="41"/>
        <v>66.573617830145707</v>
      </c>
      <c r="I109" s="304">
        <f t="shared" ca="1" si="42"/>
        <v>69.775704468980223</v>
      </c>
      <c r="J109" s="306">
        <f t="shared" ca="1" si="43"/>
        <v>9.8067849705668539</v>
      </c>
      <c r="K109" s="307">
        <f t="shared" ca="1" si="44"/>
        <v>33.312080721413722</v>
      </c>
      <c r="L109" s="304">
        <f t="shared" ca="1" si="29"/>
        <v>34.725606595838173</v>
      </c>
      <c r="M109" s="306">
        <f t="shared" ca="1" si="45"/>
        <v>1.266669710034676</v>
      </c>
      <c r="N109" s="304">
        <f t="shared" ca="1" si="46"/>
        <v>72.574828422046721</v>
      </c>
      <c r="P109" s="310">
        <f t="shared" ca="1" si="47"/>
        <v>8</v>
      </c>
      <c r="Q109" s="304">
        <f t="shared" ca="1" si="48"/>
        <v>1872.3911908396949</v>
      </c>
      <c r="R109" s="306">
        <f t="shared" ca="1" si="49"/>
        <v>1.1260076360361595</v>
      </c>
      <c r="S109" s="307">
        <f t="shared" ca="1" si="50"/>
        <v>22.559247555736089</v>
      </c>
      <c r="T109" s="304">
        <f t="shared" ca="1" si="30"/>
        <v>221.30621852177106</v>
      </c>
      <c r="U109" s="311">
        <f t="shared" ca="1" si="31"/>
        <v>0</v>
      </c>
      <c r="V109" s="306">
        <f t="shared" ca="1" si="32"/>
        <v>1.2209260556897128</v>
      </c>
      <c r="W109" s="304">
        <f t="shared" ca="1" si="33"/>
        <v>34.651694745871971</v>
      </c>
      <c r="Y109" s="314" t="str">
        <f t="shared" ca="1" si="51"/>
        <v/>
      </c>
      <c r="Z109" s="315" t="str">
        <f t="shared" ca="1" si="52"/>
        <v/>
      </c>
      <c r="AA109" s="316" t="str">
        <f t="shared" ca="1" si="53"/>
        <v/>
      </c>
      <c r="AC109" s="310" t="e">
        <f t="shared" ca="1" si="54"/>
        <v>#N/A</v>
      </c>
      <c r="AD109" s="323" t="e">
        <f t="shared" ca="1" si="55"/>
        <v>#N/A</v>
      </c>
      <c r="AE109" s="324">
        <f t="shared" ca="1" si="34"/>
        <v>33.312080721413722</v>
      </c>
      <c r="AG109" s="306">
        <f t="shared" ca="1" si="56"/>
        <v>72.133253862255089</v>
      </c>
      <c r="AH109" s="304">
        <f t="shared" ca="1" si="57"/>
        <v>81.49429612613811</v>
      </c>
    </row>
    <row r="110" spans="1:34" x14ac:dyDescent="0.2">
      <c r="A110" s="347">
        <f t="shared" ca="1" si="35"/>
        <v>0.01</v>
      </c>
      <c r="B110" s="304">
        <f t="shared" ca="1" si="36"/>
        <v>1.0600000000000007</v>
      </c>
      <c r="D110" s="306">
        <f t="shared" ca="1" si="37"/>
        <v>24.427880099362351</v>
      </c>
      <c r="E110" s="307">
        <f t="shared" ca="1" si="38"/>
        <v>68.019619488905477</v>
      </c>
      <c r="F110" s="304">
        <f t="shared" ca="1" si="39"/>
        <v>72.273023747206764</v>
      </c>
      <c r="G110" s="306">
        <f t="shared" ca="1" si="40"/>
        <v>21.139310343161075</v>
      </c>
      <c r="H110" s="307">
        <f t="shared" ca="1" si="41"/>
        <v>67.253814025034757</v>
      </c>
      <c r="I110" s="304">
        <f t="shared" ca="1" si="42"/>
        <v>70.497843532255928</v>
      </c>
      <c r="J110" s="306">
        <f t="shared" ca="1" si="43"/>
        <v>10.016956679993497</v>
      </c>
      <c r="K110" s="307">
        <f t="shared" ca="1" si="44"/>
        <v>33.981217880689627</v>
      </c>
      <c r="L110" s="304">
        <f t="shared" ca="1" si="29"/>
        <v>35.42686254502037</v>
      </c>
      <c r="M110" s="306">
        <f t="shared" ca="1" si="45"/>
        <v>1.2662530018903204</v>
      </c>
      <c r="N110" s="304">
        <f t="shared" ca="1" si="46"/>
        <v>72.550952804086407</v>
      </c>
      <c r="P110" s="310">
        <f t="shared" ca="1" si="47"/>
        <v>8</v>
      </c>
      <c r="Q110" s="304">
        <f t="shared" ca="1" si="48"/>
        <v>1873.9602111959289</v>
      </c>
      <c r="R110" s="306">
        <f t="shared" ca="1" si="49"/>
        <v>1.1269512042984218</v>
      </c>
      <c r="S110" s="307">
        <f t="shared" ca="1" si="50"/>
        <v>22.547978043693107</v>
      </c>
      <c r="T110" s="304">
        <f t="shared" ca="1" si="30"/>
        <v>221.19566460862939</v>
      </c>
      <c r="U110" s="311">
        <f t="shared" ca="1" si="31"/>
        <v>0</v>
      </c>
      <c r="V110" s="306">
        <f t="shared" ca="1" si="32"/>
        <v>1.2208443614924935</v>
      </c>
      <c r="W110" s="304">
        <f t="shared" ca="1" si="33"/>
        <v>35.370290343266262</v>
      </c>
      <c r="Y110" s="314" t="str">
        <f t="shared" ca="1" si="51"/>
        <v/>
      </c>
      <c r="Z110" s="315" t="str">
        <f t="shared" ca="1" si="52"/>
        <v/>
      </c>
      <c r="AA110" s="316" t="str">
        <f t="shared" ca="1" si="53"/>
        <v/>
      </c>
      <c r="AC110" s="310" t="e">
        <f t="shared" ca="1" si="54"/>
        <v>#N/A</v>
      </c>
      <c r="AD110" s="323" t="e">
        <f t="shared" ca="1" si="55"/>
        <v>#N/A</v>
      </c>
      <c r="AE110" s="324">
        <f t="shared" ca="1" si="34"/>
        <v>33.981217880689627</v>
      </c>
      <c r="AG110" s="306">
        <f t="shared" ca="1" si="56"/>
        <v>72.213294245288864</v>
      </c>
      <c r="AH110" s="304">
        <f t="shared" ca="1" si="57"/>
        <v>81.573102159576109</v>
      </c>
    </row>
    <row r="111" spans="1:34" x14ac:dyDescent="0.2">
      <c r="A111" s="347">
        <f t="shared" ca="1" si="35"/>
        <v>0.01</v>
      </c>
      <c r="B111" s="304">
        <f t="shared" ca="1" si="36"/>
        <v>1.0700000000000007</v>
      </c>
      <c r="D111" s="306">
        <f t="shared" ca="1" si="37"/>
        <v>24.483867028394446</v>
      </c>
      <c r="E111" s="307">
        <f t="shared" ca="1" si="38"/>
        <v>68.084378435767363</v>
      </c>
      <c r="F111" s="304">
        <f t="shared" ca="1" si="39"/>
        <v>72.352901335391408</v>
      </c>
      <c r="G111" s="306">
        <f t="shared" ca="1" si="40"/>
        <v>21.384149013445018</v>
      </c>
      <c r="H111" s="307">
        <f t="shared" ca="1" si="41"/>
        <v>67.934657809392434</v>
      </c>
      <c r="I111" s="304">
        <f t="shared" ca="1" si="42"/>
        <v>71.220780399462527</v>
      </c>
      <c r="J111" s="306">
        <f t="shared" ca="1" si="43"/>
        <v>10.229573976776527</v>
      </c>
      <c r="K111" s="307">
        <f t="shared" ca="1" si="44"/>
        <v>34.65716023986176</v>
      </c>
      <c r="L111" s="304">
        <f t="shared" ca="1" si="29"/>
        <v>36.135341974828442</v>
      </c>
      <c r="M111" s="306">
        <f t="shared" ca="1" si="45"/>
        <v>1.2658399760022201</v>
      </c>
      <c r="N111" s="304">
        <f t="shared" ca="1" si="46"/>
        <v>72.527288163868619</v>
      </c>
      <c r="P111" s="310">
        <f t="shared" ca="1" si="47"/>
        <v>8</v>
      </c>
      <c r="Q111" s="304">
        <f t="shared" ca="1" si="48"/>
        <v>1875.5292315521631</v>
      </c>
      <c r="R111" s="306">
        <f t="shared" ca="1" si="49"/>
        <v>1.127894772560684</v>
      </c>
      <c r="S111" s="307">
        <f t="shared" ca="1" si="50"/>
        <v>22.536699095967499</v>
      </c>
      <c r="T111" s="304">
        <f t="shared" ca="1" si="30"/>
        <v>221.08501813144119</v>
      </c>
      <c r="U111" s="311">
        <f t="shared" ca="1" si="31"/>
        <v>0</v>
      </c>
      <c r="V111" s="306">
        <f t="shared" ca="1" si="32"/>
        <v>1.220761841996669</v>
      </c>
      <c r="W111" s="304">
        <f t="shared" ca="1" si="33"/>
        <v>36.096995904633381</v>
      </c>
      <c r="Y111" s="314" t="str">
        <f t="shared" ca="1" si="51"/>
        <v/>
      </c>
      <c r="Z111" s="315" t="str">
        <f t="shared" ca="1" si="52"/>
        <v/>
      </c>
      <c r="AA111" s="316" t="str">
        <f t="shared" ca="1" si="53"/>
        <v/>
      </c>
      <c r="AC111" s="310" t="e">
        <f t="shared" ca="1" si="54"/>
        <v>#N/A</v>
      </c>
      <c r="AD111" s="323" t="e">
        <f t="shared" ca="1" si="55"/>
        <v>#N/A</v>
      </c>
      <c r="AE111" s="324">
        <f t="shared" ca="1" si="34"/>
        <v>34.65716023986176</v>
      </c>
      <c r="AG111" s="306">
        <f t="shared" ca="1" si="56"/>
        <v>72.293079241654027</v>
      </c>
      <c r="AH111" s="304">
        <f t="shared" ca="1" si="57"/>
        <v>81.651662178786296</v>
      </c>
    </row>
    <row r="112" spans="1:34" x14ac:dyDescent="0.2">
      <c r="A112" s="347">
        <f t="shared" ca="1" si="35"/>
        <v>0.01</v>
      </c>
      <c r="B112" s="304">
        <f t="shared" ca="1" si="36"/>
        <v>1.0800000000000007</v>
      </c>
      <c r="D112" s="306">
        <f t="shared" ca="1" si="37"/>
        <v>24.539550900494543</v>
      </c>
      <c r="E112" s="307">
        <f t="shared" ca="1" si="38"/>
        <v>68.148958861215604</v>
      </c>
      <c r="F112" s="304">
        <f t="shared" ca="1" si="39"/>
        <v>72.432521371726523</v>
      </c>
      <c r="G112" s="306">
        <f t="shared" ca="1" si="40"/>
        <v>21.629544522449965</v>
      </c>
      <c r="H112" s="307">
        <f t="shared" ca="1" si="41"/>
        <v>68.616147398004586</v>
      </c>
      <c r="I112" s="304">
        <f t="shared" ca="1" si="42"/>
        <v>71.944512507858008</v>
      </c>
      <c r="J112" s="306">
        <f t="shared" ca="1" si="43"/>
        <v>10.444642444456001</v>
      </c>
      <c r="K112" s="307">
        <f t="shared" ca="1" si="44"/>
        <v>35.339914265898742</v>
      </c>
      <c r="L112" s="304">
        <f t="shared" ca="1" si="29"/>
        <v>36.851052849458796</v>
      </c>
      <c r="M112" s="306">
        <f t="shared" ca="1" si="45"/>
        <v>1.2654305677527846</v>
      </c>
      <c r="N112" s="304">
        <f t="shared" ca="1" si="46"/>
        <v>72.503830799078131</v>
      </c>
      <c r="P112" s="310">
        <f t="shared" ca="1" si="47"/>
        <v>8</v>
      </c>
      <c r="Q112" s="304">
        <f t="shared" ca="1" si="48"/>
        <v>1877.0982519083973</v>
      </c>
      <c r="R112" s="306">
        <f t="shared" ca="1" si="49"/>
        <v>1.1288383408229463</v>
      </c>
      <c r="S112" s="307">
        <f t="shared" ca="1" si="50"/>
        <v>22.525410712559271</v>
      </c>
      <c r="T112" s="304">
        <f t="shared" ca="1" si="30"/>
        <v>220.97427909020647</v>
      </c>
      <c r="U112" s="311">
        <f t="shared" ca="1" si="31"/>
        <v>0</v>
      </c>
      <c r="V112" s="306">
        <f t="shared" ca="1" si="32"/>
        <v>1.2206784965804447</v>
      </c>
      <c r="W112" s="304">
        <f t="shared" ca="1" si="33"/>
        <v>36.831830264348554</v>
      </c>
      <c r="Y112" s="314" t="str">
        <f t="shared" ca="1" si="51"/>
        <v/>
      </c>
      <c r="Z112" s="315" t="str">
        <f t="shared" ca="1" si="52"/>
        <v/>
      </c>
      <c r="AA112" s="316" t="str">
        <f t="shared" ca="1" si="53"/>
        <v/>
      </c>
      <c r="AC112" s="310" t="e">
        <f t="shared" ca="1" si="54"/>
        <v>#N/A</v>
      </c>
      <c r="AD112" s="323" t="e">
        <f t="shared" ca="1" si="55"/>
        <v>#N/A</v>
      </c>
      <c r="AE112" s="324">
        <f t="shared" ca="1" si="34"/>
        <v>35.339914265898742</v>
      </c>
      <c r="AG112" s="306">
        <f t="shared" ca="1" si="56"/>
        <v>72.372607890170443</v>
      </c>
      <c r="AH112" s="304">
        <f t="shared" ca="1" si="57"/>
        <v>81.729975071100256</v>
      </c>
    </row>
    <row r="113" spans="1:34" x14ac:dyDescent="0.2">
      <c r="A113" s="347">
        <f t="shared" ca="1" si="35"/>
        <v>0.01</v>
      </c>
      <c r="B113" s="304">
        <f t="shared" ca="1" si="36"/>
        <v>1.0900000000000007</v>
      </c>
      <c r="D113" s="306">
        <f t="shared" ca="1" si="37"/>
        <v>24.594935400663882</v>
      </c>
      <c r="E113" s="307">
        <f t="shared" ca="1" si="38"/>
        <v>68.213358788010183</v>
      </c>
      <c r="F113" s="304">
        <f t="shared" ca="1" si="39"/>
        <v>72.511882919316307</v>
      </c>
      <c r="G113" s="306">
        <f t="shared" ca="1" si="40"/>
        <v>21.875493876456606</v>
      </c>
      <c r="H113" s="307">
        <f t="shared" ca="1" si="41"/>
        <v>69.298280985884688</v>
      </c>
      <c r="I113" s="304">
        <f t="shared" ca="1" si="42"/>
        <v>72.669037285060526</v>
      </c>
      <c r="J113" s="306">
        <f t="shared" ca="1" si="43"/>
        <v>10.662167636450533</v>
      </c>
      <c r="K113" s="307">
        <f t="shared" ca="1" si="44"/>
        <v>36.02948640781819</v>
      </c>
      <c r="L113" s="304">
        <f t="shared" ca="1" si="29"/>
        <v>37.574003107453549</v>
      </c>
      <c r="M113" s="306">
        <f t="shared" ca="1" si="45"/>
        <v>1.2650247142369737</v>
      </c>
      <c r="N113" s="304">
        <f t="shared" ca="1" si="46"/>
        <v>72.480577105521618</v>
      </c>
      <c r="P113" s="310">
        <f t="shared" ca="1" si="47"/>
        <v>8</v>
      </c>
      <c r="Q113" s="304">
        <f t="shared" ca="1" si="48"/>
        <v>1878.6672722646313</v>
      </c>
      <c r="R113" s="306">
        <f t="shared" ca="1" si="49"/>
        <v>1.1297819090852086</v>
      </c>
      <c r="S113" s="307">
        <f t="shared" ca="1" si="50"/>
        <v>22.514112893468418</v>
      </c>
      <c r="T113" s="304">
        <f t="shared" ca="1" si="30"/>
        <v>220.86344748492519</v>
      </c>
      <c r="U113" s="311">
        <f t="shared" ca="1" si="31"/>
        <v>0</v>
      </c>
      <c r="V113" s="306">
        <f t="shared" ca="1" si="32"/>
        <v>1.2205943246260926</v>
      </c>
      <c r="W113" s="304">
        <f t="shared" ca="1" si="33"/>
        <v>37.574812127448844</v>
      </c>
      <c r="Y113" s="314" t="str">
        <f t="shared" ca="1" si="51"/>
        <v/>
      </c>
      <c r="Z113" s="315" t="str">
        <f t="shared" ca="1" si="52"/>
        <v/>
      </c>
      <c r="AA113" s="316" t="str">
        <f t="shared" ca="1" si="53"/>
        <v/>
      </c>
      <c r="AC113" s="310" t="e">
        <f t="shared" ca="1" si="54"/>
        <v>#N/A</v>
      </c>
      <c r="AD113" s="323" t="e">
        <f t="shared" ca="1" si="55"/>
        <v>#N/A</v>
      </c>
      <c r="AE113" s="324">
        <f t="shared" ca="1" si="34"/>
        <v>36.02948640781819</v>
      </c>
      <c r="AG113" s="306">
        <f t="shared" ca="1" si="56"/>
        <v>72.45187922869296</v>
      </c>
      <c r="AH113" s="304">
        <f t="shared" ca="1" si="57"/>
        <v>81.808039726700429</v>
      </c>
    </row>
    <row r="114" spans="1:34" x14ac:dyDescent="0.2">
      <c r="A114" s="347">
        <f t="shared" ca="1" si="35"/>
        <v>0.01</v>
      </c>
      <c r="B114" s="304">
        <f t="shared" ca="1" si="36"/>
        <v>1.1000000000000008</v>
      </c>
      <c r="D114" s="306">
        <f t="shared" ca="1" si="37"/>
        <v>24.650024100910688</v>
      </c>
      <c r="E114" s="307">
        <f t="shared" ca="1" si="38"/>
        <v>68.277576266892169</v>
      </c>
      <c r="F114" s="304">
        <f t="shared" ca="1" si="39"/>
        <v>72.590985039857074</v>
      </c>
      <c r="G114" s="306">
        <f t="shared" ca="1" si="40"/>
        <v>22.121994117465711</v>
      </c>
      <c r="H114" s="307">
        <f t="shared" ca="1" si="41"/>
        <v>69.981056748553613</v>
      </c>
      <c r="I114" s="304">
        <f t="shared" ca="1" si="42"/>
        <v>73.394352149041197</v>
      </c>
      <c r="J114" s="306">
        <f t="shared" ca="1" si="43"/>
        <v>10.882155076420146</v>
      </c>
      <c r="K114" s="307">
        <f t="shared" ca="1" si="44"/>
        <v>36.725883096490385</v>
      </c>
      <c r="L114" s="304">
        <f t="shared" ca="1" si="29"/>
        <v>38.304200661602835</v>
      </c>
      <c r="M114" s="306">
        <f t="shared" ca="1" si="45"/>
        <v>1.2646223542014743</v>
      </c>
      <c r="N114" s="304">
        <f t="shared" ca="1" si="46"/>
        <v>72.45752357364276</v>
      </c>
      <c r="P114" s="310">
        <f t="shared" ca="1" si="47"/>
        <v>8</v>
      </c>
      <c r="Q114" s="304">
        <f t="shared" ca="1" si="48"/>
        <v>1880.2362926208655</v>
      </c>
      <c r="R114" s="306">
        <f t="shared" ca="1" si="49"/>
        <v>1.1307254773474709</v>
      </c>
      <c r="S114" s="307">
        <f t="shared" ca="1" si="50"/>
        <v>22.502805638694944</v>
      </c>
      <c r="T114" s="304">
        <f t="shared" ca="1" si="30"/>
        <v>220.75252331559741</v>
      </c>
      <c r="U114" s="311">
        <f t="shared" ca="1" si="31"/>
        <v>0</v>
      </c>
      <c r="V114" s="306">
        <f t="shared" ca="1" si="32"/>
        <v>1.220509325519979</v>
      </c>
      <c r="W114" s="304">
        <f t="shared" ca="1" si="33"/>
        <v>38.325960068691806</v>
      </c>
      <c r="Y114" s="314" t="str">
        <f t="shared" ca="1" si="51"/>
        <v/>
      </c>
      <c r="Z114" s="315" t="str">
        <f t="shared" ca="1" si="52"/>
        <v/>
      </c>
      <c r="AA114" s="316" t="str">
        <f t="shared" ca="1" si="53"/>
        <v/>
      </c>
      <c r="AC114" s="310" t="e">
        <f t="shared" ca="1" si="54"/>
        <v>#N/A</v>
      </c>
      <c r="AD114" s="323" t="e">
        <f t="shared" ca="1" si="55"/>
        <v>#N/A</v>
      </c>
      <c r="AE114" s="324">
        <f t="shared" ca="1" si="34"/>
        <v>36.725883096490385</v>
      </c>
      <c r="AG114" s="306">
        <f t="shared" ca="1" si="56"/>
        <v>72.5308922942869</v>
      </c>
      <c r="AH114" s="304">
        <f t="shared" ca="1" si="57"/>
        <v>81.885855038664516</v>
      </c>
    </row>
    <row r="115" spans="1:34" x14ac:dyDescent="0.2">
      <c r="A115" s="347">
        <f t="shared" ca="1" si="35"/>
        <v>0.01</v>
      </c>
      <c r="B115" s="304">
        <f t="shared" ca="1" si="36"/>
        <v>1.1100000000000008</v>
      </c>
      <c r="D115" s="306">
        <f t="shared" ca="1" si="37"/>
        <v>24.704820464382891</v>
      </c>
      <c r="E115" s="307">
        <f t="shared" ca="1" si="38"/>
        <v>68.341609375749485</v>
      </c>
      <c r="F115" s="304">
        <f t="shared" ca="1" si="39"/>
        <v>72.669826793827724</v>
      </c>
      <c r="G115" s="306">
        <f t="shared" ca="1" si="40"/>
        <v>22.369042322109539</v>
      </c>
      <c r="H115" s="307">
        <f t="shared" ca="1" si="41"/>
        <v>70.664472842311113</v>
      </c>
      <c r="I115" s="304">
        <f t="shared" ca="1" si="42"/>
        <v>74.120454508118428</v>
      </c>
      <c r="J115" s="306">
        <f t="shared" ca="1" si="43"/>
        <v>11.104610258618022</v>
      </c>
      <c r="K115" s="307">
        <f t="shared" ca="1" si="44"/>
        <v>37.429110744444706</v>
      </c>
      <c r="L115" s="304">
        <f t="shared" ca="1" si="29"/>
        <v>39.041653398847124</v>
      </c>
      <c r="M115" s="306">
        <f t="shared" ca="1" si="45"/>
        <v>1.2642234279865743</v>
      </c>
      <c r="N115" s="304">
        <f t="shared" ca="1" si="46"/>
        <v>72.434666785191865</v>
      </c>
      <c r="P115" s="310">
        <f t="shared" ca="1" si="47"/>
        <v>8</v>
      </c>
      <c r="Q115" s="304">
        <f t="shared" ca="1" si="48"/>
        <v>1881.8053129770994</v>
      </c>
      <c r="R115" s="306">
        <f t="shared" ca="1" si="49"/>
        <v>1.1316690456097331</v>
      </c>
      <c r="S115" s="307">
        <f t="shared" ca="1" si="50"/>
        <v>22.491488948238846</v>
      </c>
      <c r="T115" s="304">
        <f t="shared" ca="1" si="30"/>
        <v>220.64150658222309</v>
      </c>
      <c r="U115" s="311">
        <f t="shared" ca="1" si="31"/>
        <v>0</v>
      </c>
      <c r="V115" s="306">
        <f t="shared" ca="1" si="32"/>
        <v>1.2204234986525935</v>
      </c>
      <c r="W115" s="304">
        <f t="shared" ca="1" si="33"/>
        <v>39.085292531616311</v>
      </c>
      <c r="Y115" s="314" t="str">
        <f t="shared" ca="1" si="51"/>
        <v/>
      </c>
      <c r="Z115" s="315" t="str">
        <f t="shared" ca="1" si="52"/>
        <v/>
      </c>
      <c r="AA115" s="316" t="str">
        <f t="shared" ca="1" si="53"/>
        <v/>
      </c>
      <c r="AC115" s="310" t="e">
        <f t="shared" ca="1" si="54"/>
        <v>#N/A</v>
      </c>
      <c r="AD115" s="323" t="e">
        <f t="shared" ca="1" si="55"/>
        <v>#N/A</v>
      </c>
      <c r="AE115" s="324">
        <f t="shared" ca="1" si="34"/>
        <v>37.429110744444706</v>
      </c>
      <c r="AG115" s="306">
        <f t="shared" ca="1" si="56"/>
        <v>72.609646123397937</v>
      </c>
      <c r="AH115" s="304">
        <f t="shared" ca="1" si="57"/>
        <v>81.963419903009935</v>
      </c>
    </row>
    <row r="116" spans="1:34" x14ac:dyDescent="0.2">
      <c r="A116" s="347">
        <f t="shared" ca="1" si="35"/>
        <v>0.01</v>
      </c>
      <c r="B116" s="304">
        <f t="shared" ca="1" si="36"/>
        <v>1.1200000000000008</v>
      </c>
      <c r="D116" s="306">
        <f t="shared" ca="1" si="37"/>
        <v>24.759327849316556</v>
      </c>
      <c r="E116" s="307">
        <f t="shared" ca="1" si="38"/>
        <v>68.405456218820717</v>
      </c>
      <c r="F116" s="304">
        <f t="shared" ca="1" si="39"/>
        <v>72.748407240673941</v>
      </c>
      <c r="G116" s="306">
        <f t="shared" ca="1" si="40"/>
        <v>22.616635600602706</v>
      </c>
      <c r="H116" s="307">
        <f t="shared" ca="1" si="41"/>
        <v>71.348527404499322</v>
      </c>
      <c r="I116" s="304">
        <f t="shared" ca="1" si="42"/>
        <v>74.847341760953952</v>
      </c>
      <c r="J116" s="306">
        <f t="shared" ca="1" si="43"/>
        <v>11.329538648231583</v>
      </c>
      <c r="K116" s="307">
        <f t="shared" ca="1" si="44"/>
        <v>38.139175745678756</v>
      </c>
      <c r="L116" s="304">
        <f t="shared" ca="1" si="29"/>
        <v>39.786369180179584</v>
      </c>
      <c r="M116" s="306">
        <f t="shared" ca="1" si="45"/>
        <v>1.2638278774705949</v>
      </c>
      <c r="N116" s="304">
        <f t="shared" ca="1" si="46"/>
        <v>72.412003410042033</v>
      </c>
      <c r="P116" s="310">
        <f t="shared" ca="1" si="47"/>
        <v>8</v>
      </c>
      <c r="Q116" s="304">
        <f t="shared" ca="1" si="48"/>
        <v>1883.3743333333337</v>
      </c>
      <c r="R116" s="306">
        <f t="shared" ca="1" si="49"/>
        <v>1.1326126138719954</v>
      </c>
      <c r="S116" s="307">
        <f t="shared" ca="1" si="50"/>
        <v>22.480162822100127</v>
      </c>
      <c r="T116" s="304">
        <f t="shared" ca="1" si="30"/>
        <v>220.53039728480226</v>
      </c>
      <c r="U116" s="311">
        <f t="shared" ca="1" si="31"/>
        <v>0</v>
      </c>
      <c r="V116" s="306">
        <f t="shared" ca="1" si="32"/>
        <v>1.2203368434185737</v>
      </c>
      <c r="W116" s="304">
        <f t="shared" ca="1" si="33"/>
        <v>39.852827827605438</v>
      </c>
      <c r="Y116" s="314" t="str">
        <f t="shared" ca="1" si="51"/>
        <v/>
      </c>
      <c r="Z116" s="315" t="str">
        <f t="shared" ca="1" si="52"/>
        <v/>
      </c>
      <c r="AA116" s="316" t="str">
        <f t="shared" ca="1" si="53"/>
        <v/>
      </c>
      <c r="AC116" s="310" t="e">
        <f t="shared" ca="1" si="54"/>
        <v>#N/A</v>
      </c>
      <c r="AD116" s="323" t="e">
        <f t="shared" ca="1" si="55"/>
        <v>#N/A</v>
      </c>
      <c r="AE116" s="324">
        <f t="shared" ca="1" si="34"/>
        <v>38.139175745678756</v>
      </c>
      <c r="AG116" s="306">
        <f t="shared" ca="1" si="56"/>
        <v>72.688139752016667</v>
      </c>
      <c r="AH116" s="304">
        <f t="shared" ca="1" si="57"/>
        <v>82.040733218738382</v>
      </c>
    </row>
    <row r="117" spans="1:34" x14ac:dyDescent="0.2">
      <c r="A117" s="347">
        <f t="shared" ca="1" si="35"/>
        <v>0.01</v>
      </c>
      <c r="B117" s="304">
        <f t="shared" ca="1" si="36"/>
        <v>1.1300000000000008</v>
      </c>
      <c r="D117" s="306">
        <f t="shared" ca="1" si="37"/>
        <v>24.813549512809328</v>
      </c>
      <c r="E117" s="307">
        <f t="shared" ca="1" si="38"/>
        <v>68.469114925935216</v>
      </c>
      <c r="F117" s="304">
        <f t="shared" ca="1" si="39"/>
        <v>72.826725438986784</v>
      </c>
      <c r="G117" s="306">
        <f t="shared" ca="1" si="40"/>
        <v>22.864771095730799</v>
      </c>
      <c r="H117" s="307">
        <f t="shared" ca="1" si="41"/>
        <v>72.033218553758672</v>
      </c>
      <c r="I117" s="304">
        <f t="shared" ca="1" si="42"/>
        <v>75.575011296550457</v>
      </c>
      <c r="J117" s="306">
        <f t="shared" ca="1" si="43"/>
        <v>11.55694568171325</v>
      </c>
      <c r="K117" s="307">
        <f t="shared" ca="1" si="44"/>
        <v>38.856084475470048</v>
      </c>
      <c r="L117" s="304">
        <f t="shared" ca="1" si="29"/>
        <v>40.538355840548533</v>
      </c>
      <c r="M117" s="306">
        <f t="shared" ca="1" si="45"/>
        <v>1.26343564601674</v>
      </c>
      <c r="N117" s="304">
        <f t="shared" ca="1" si="46"/>
        <v>72.389530203143863</v>
      </c>
      <c r="P117" s="310">
        <f t="shared" ca="1" si="47"/>
        <v>8</v>
      </c>
      <c r="Q117" s="304">
        <f t="shared" ca="1" si="48"/>
        <v>1884.9433536895676</v>
      </c>
      <c r="R117" s="306">
        <f t="shared" ca="1" si="49"/>
        <v>1.1335561821342577</v>
      </c>
      <c r="S117" s="307">
        <f t="shared" ca="1" si="50"/>
        <v>22.468827260278783</v>
      </c>
      <c r="T117" s="304">
        <f t="shared" ca="1" si="30"/>
        <v>220.41919542333486</v>
      </c>
      <c r="U117" s="311">
        <f t="shared" ca="1" si="31"/>
        <v>0</v>
      </c>
      <c r="V117" s="306">
        <f t="shared" ca="1" si="32"/>
        <v>1.2202493592167345</v>
      </c>
      <c r="W117" s="304">
        <f t="shared" ca="1" si="33"/>
        <v>40.628584134952014</v>
      </c>
      <c r="Y117" s="314" t="str">
        <f t="shared" ca="1" si="51"/>
        <v/>
      </c>
      <c r="Z117" s="315" t="str">
        <f t="shared" ca="1" si="52"/>
        <v/>
      </c>
      <c r="AA117" s="316" t="str">
        <f t="shared" ca="1" si="53"/>
        <v/>
      </c>
      <c r="AC117" s="310" t="e">
        <f t="shared" ca="1" si="54"/>
        <v>#N/A</v>
      </c>
      <c r="AD117" s="323" t="e">
        <f t="shared" ca="1" si="55"/>
        <v>#N/A</v>
      </c>
      <c r="AE117" s="324">
        <f t="shared" ca="1" si="34"/>
        <v>38.856084475470048</v>
      </c>
      <c r="AG117" s="306">
        <f t="shared" ca="1" si="56"/>
        <v>72.766372215838174</v>
      </c>
      <c r="AH117" s="304">
        <f t="shared" ca="1" si="57"/>
        <v>82.117793887880438</v>
      </c>
    </row>
    <row r="118" spans="1:34" x14ac:dyDescent="0.2">
      <c r="A118" s="347">
        <f t="shared" ca="1" si="35"/>
        <v>0.01</v>
      </c>
      <c r="B118" s="304">
        <f t="shared" ca="1" si="36"/>
        <v>1.1400000000000008</v>
      </c>
      <c r="D118" s="306">
        <f t="shared" ca="1" si="37"/>
        <v>24.867488614428758</v>
      </c>
      <c r="E118" s="307">
        <f t="shared" ca="1" si="38"/>
        <v>68.532583651787064</v>
      </c>
      <c r="F118" s="304">
        <f t="shared" ca="1" si="39"/>
        <v>72.904780446675346</v>
      </c>
      <c r="G118" s="306">
        <f t="shared" ca="1" si="40"/>
        <v>23.113445981875085</v>
      </c>
      <c r="H118" s="307">
        <f t="shared" ca="1" si="41"/>
        <v>72.718544390276548</v>
      </c>
      <c r="I118" s="304">
        <f t="shared" ca="1" si="42"/>
        <v>76.3034604942507</v>
      </c>
      <c r="J118" s="306">
        <f t="shared" ca="1" si="43"/>
        <v>11.786836767101279</v>
      </c>
      <c r="K118" s="307">
        <f t="shared" ca="1" si="44"/>
        <v>39.579843290190226</v>
      </c>
      <c r="L118" s="304">
        <f t="shared" ca="1" si="29"/>
        <v>41.297621188759855</v>
      </c>
      <c r="M118" s="306">
        <f t="shared" ca="1" si="45"/>
        <v>1.2630466784222421</v>
      </c>
      <c r="N118" s="304">
        <f t="shared" ca="1" si="46"/>
        <v>72.367244001611766</v>
      </c>
      <c r="P118" s="310">
        <f t="shared" ca="1" si="47"/>
        <v>8</v>
      </c>
      <c r="Q118" s="304">
        <f t="shared" ca="1" si="48"/>
        <v>1886.5123740458018</v>
      </c>
      <c r="R118" s="306">
        <f t="shared" ca="1" si="49"/>
        <v>1.13449975039652</v>
      </c>
      <c r="S118" s="307">
        <f t="shared" ca="1" si="50"/>
        <v>22.457482262774818</v>
      </c>
      <c r="T118" s="304">
        <f t="shared" ca="1" si="30"/>
        <v>220.30790099782098</v>
      </c>
      <c r="U118" s="311">
        <f t="shared" ca="1" si="31"/>
        <v>0</v>
      </c>
      <c r="V118" s="306">
        <f t="shared" ca="1" si="32"/>
        <v>1.2201610454500904</v>
      </c>
      <c r="W118" s="304">
        <f t="shared" ca="1" si="33"/>
        <v>41.412579497926245</v>
      </c>
      <c r="Y118" s="314" t="str">
        <f t="shared" ca="1" si="51"/>
        <v/>
      </c>
      <c r="Z118" s="315" t="str">
        <f t="shared" ca="1" si="52"/>
        <v/>
      </c>
      <c r="AA118" s="316" t="str">
        <f t="shared" ca="1" si="53"/>
        <v/>
      </c>
      <c r="AC118" s="310" t="e">
        <f t="shared" ca="1" si="54"/>
        <v>#N/A</v>
      </c>
      <c r="AD118" s="323" t="e">
        <f t="shared" ca="1" si="55"/>
        <v>#N/A</v>
      </c>
      <c r="AE118" s="324">
        <f t="shared" ca="1" si="34"/>
        <v>39.579843290190226</v>
      </c>
      <c r="AG118" s="306">
        <f t="shared" ca="1" si="56"/>
        <v>72.84434255041667</v>
      </c>
      <c r="AH118" s="304">
        <f t="shared" ca="1" si="57"/>
        <v>82.19460081554017</v>
      </c>
    </row>
    <row r="119" spans="1:34" x14ac:dyDescent="0.2">
      <c r="A119" s="347">
        <f t="shared" ca="1" si="35"/>
        <v>0.01</v>
      </c>
      <c r="B119" s="304">
        <f t="shared" ca="1" si="36"/>
        <v>1.1500000000000008</v>
      </c>
      <c r="D119" s="306">
        <f t="shared" ca="1" si="37"/>
        <v>24.921148219663756</v>
      </c>
      <c r="E119" s="307">
        <f t="shared" ca="1" si="38"/>
        <v>68.595860575241787</v>
      </c>
      <c r="F119" s="304">
        <f t="shared" ca="1" si="39"/>
        <v>72.982571321134344</v>
      </c>
      <c r="G119" s="306">
        <f t="shared" ca="1" si="40"/>
        <v>23.362657464071724</v>
      </c>
      <c r="H119" s="307">
        <f t="shared" ca="1" si="41"/>
        <v>73.404502996028967</v>
      </c>
      <c r="I119" s="304">
        <f t="shared" ca="1" si="42"/>
        <v>77.032686723738067</v>
      </c>
      <c r="J119" s="306">
        <f t="shared" ca="1" si="43"/>
        <v>12.019217284331013</v>
      </c>
      <c r="K119" s="307">
        <f t="shared" ca="1" si="44"/>
        <v>40.310458527121753</v>
      </c>
      <c r="L119" s="304">
        <f t="shared" ca="1" si="29"/>
        <v>42.064173007379623</v>
      </c>
      <c r="M119" s="306">
        <f t="shared" ca="1" si="45"/>
        <v>1.2626609208696848</v>
      </c>
      <c r="N119" s="304">
        <f t="shared" ca="1" si="46"/>
        <v>72.345141721934951</v>
      </c>
      <c r="P119" s="310">
        <f t="shared" ca="1" si="47"/>
        <v>8</v>
      </c>
      <c r="Q119" s="304">
        <f t="shared" ca="1" si="48"/>
        <v>1888.0813944020358</v>
      </c>
      <c r="R119" s="306">
        <f t="shared" ca="1" si="49"/>
        <v>1.135443318658782</v>
      </c>
      <c r="S119" s="307">
        <f t="shared" ca="1" si="50"/>
        <v>22.446127829588228</v>
      </c>
      <c r="T119" s="304">
        <f t="shared" ca="1" si="30"/>
        <v>220.19651400826052</v>
      </c>
      <c r="U119" s="311">
        <f t="shared" ca="1" si="31"/>
        <v>0</v>
      </c>
      <c r="V119" s="306">
        <f t="shared" ca="1" si="32"/>
        <v>1.2200719015258856</v>
      </c>
      <c r="W119" s="304">
        <f t="shared" ca="1" si="33"/>
        <v>42.204831825846107</v>
      </c>
      <c r="Y119" s="314" t="str">
        <f t="shared" ca="1" si="51"/>
        <v/>
      </c>
      <c r="Z119" s="315" t="str">
        <f t="shared" ca="1" si="52"/>
        <v/>
      </c>
      <c r="AA119" s="316" t="str">
        <f t="shared" ca="1" si="53"/>
        <v/>
      </c>
      <c r="AC119" s="310" t="e">
        <f t="shared" ca="1" si="54"/>
        <v>#N/A</v>
      </c>
      <c r="AD119" s="323" t="e">
        <f t="shared" ca="1" si="55"/>
        <v>#N/A</v>
      </c>
      <c r="AE119" s="324">
        <f t="shared" ca="1" si="34"/>
        <v>40.310458527121753</v>
      </c>
      <c r="AG119" s="306">
        <f t="shared" ca="1" si="56"/>
        <v>72.922049791315715</v>
      </c>
      <c r="AH119" s="304">
        <f t="shared" ca="1" si="57"/>
        <v>82.271152909939858</v>
      </c>
    </row>
    <row r="120" spans="1:34" x14ac:dyDescent="0.2">
      <c r="A120" s="347">
        <f t="shared" ca="1" si="35"/>
        <v>0.01</v>
      </c>
      <c r="B120" s="304">
        <f t="shared" ca="1" si="36"/>
        <v>1.1600000000000008</v>
      </c>
      <c r="D120" s="306">
        <f t="shared" ca="1" si="37"/>
        <v>24.974531303227458</v>
      </c>
      <c r="E120" s="307">
        <f t="shared" ca="1" si="38"/>
        <v>68.658943898673897</v>
      </c>
      <c r="F120" s="304">
        <f t="shared" ca="1" si="39"/>
        <v>73.060097119406691</v>
      </c>
      <c r="G120" s="306">
        <f t="shared" ca="1" si="40"/>
        <v>23.612402777103998</v>
      </c>
      <c r="H120" s="307">
        <f t="shared" ca="1" si="41"/>
        <v>74.09109243501571</v>
      </c>
      <c r="I120" s="304">
        <f t="shared" ca="1" si="42"/>
        <v>77.762687345038628</v>
      </c>
      <c r="J120" s="306">
        <f t="shared" ca="1" si="43"/>
        <v>12.254092585536892</v>
      </c>
      <c r="K120" s="307">
        <f t="shared" ca="1" si="44"/>
        <v>41.047936504276976</v>
      </c>
      <c r="L120" s="304">
        <f t="shared" ca="1" si="29"/>
        <v>42.838019052636696</v>
      </c>
      <c r="M120" s="306">
        <f t="shared" ca="1" si="45"/>
        <v>1.2622783208803894</v>
      </c>
      <c r="N120" s="304">
        <f t="shared" ca="1" si="46"/>
        <v>72.323220357306568</v>
      </c>
      <c r="P120" s="310">
        <f t="shared" ca="1" si="47"/>
        <v>8</v>
      </c>
      <c r="Q120" s="304">
        <f t="shared" ca="1" si="48"/>
        <v>1889.65041475827</v>
      </c>
      <c r="R120" s="306">
        <f t="shared" ca="1" si="49"/>
        <v>1.1363868869210445</v>
      </c>
      <c r="S120" s="307">
        <f t="shared" ca="1" si="50"/>
        <v>22.434763960719017</v>
      </c>
      <c r="T120" s="304">
        <f t="shared" ca="1" si="30"/>
        <v>220.08503445465357</v>
      </c>
      <c r="U120" s="311">
        <f t="shared" ca="1" si="31"/>
        <v>0</v>
      </c>
      <c r="V120" s="306">
        <f t="shared" ca="1" si="32"/>
        <v>1.2199819268556165</v>
      </c>
      <c r="W120" s="304">
        <f t="shared" ca="1" si="33"/>
        <v>43.005358892150163</v>
      </c>
      <c r="Y120" s="314" t="str">
        <f t="shared" ca="1" si="51"/>
        <v/>
      </c>
      <c r="Z120" s="315" t="str">
        <f t="shared" ca="1" si="52"/>
        <v/>
      </c>
      <c r="AA120" s="316" t="str">
        <f t="shared" ca="1" si="53"/>
        <v/>
      </c>
      <c r="AC120" s="310" t="e">
        <f t="shared" ca="1" si="54"/>
        <v>#N/A</v>
      </c>
      <c r="AD120" s="323" t="e">
        <f t="shared" ca="1" si="55"/>
        <v>#N/A</v>
      </c>
      <c r="AE120" s="324">
        <f t="shared" ca="1" si="34"/>
        <v>41.047936504276976</v>
      </c>
      <c r="AG120" s="306">
        <f t="shared" ca="1" si="56"/>
        <v>72.999492974254082</v>
      </c>
      <c r="AH120" s="304">
        <f t="shared" ca="1" si="57"/>
        <v>82.347449082464721</v>
      </c>
    </row>
    <row r="121" spans="1:34" x14ac:dyDescent="0.2">
      <c r="A121" s="347">
        <f t="shared" ca="1" si="35"/>
        <v>0.01</v>
      </c>
      <c r="B121" s="304">
        <f t="shared" ca="1" si="36"/>
        <v>1.1700000000000008</v>
      </c>
      <c r="D121" s="306">
        <f t="shared" ca="1" si="37"/>
        <v>25.027640752219227</v>
      </c>
      <c r="E121" s="307">
        <f t="shared" ca="1" si="38"/>
        <v>68.721831847333462</v>
      </c>
      <c r="F121" s="304">
        <f t="shared" ca="1" si="39"/>
        <v>73.137356898341082</v>
      </c>
      <c r="G121" s="306">
        <f t="shared" ca="1" si="40"/>
        <v>23.862679184626192</v>
      </c>
      <c r="H121" s="307">
        <f t="shared" ca="1" si="41"/>
        <v>74.778310753489052</v>
      </c>
      <c r="I121" s="304">
        <f t="shared" ca="1" si="42"/>
        <v>78.493459708524554</v>
      </c>
      <c r="J121" s="306">
        <f t="shared" ca="1" si="43"/>
        <v>12.491467995345543</v>
      </c>
      <c r="K121" s="307">
        <f t="shared" ca="1" si="44"/>
        <v>41.792283520219499</v>
      </c>
      <c r="L121" s="304">
        <f t="shared" ca="1" si="29"/>
        <v>43.619167054325466</v>
      </c>
      <c r="M121" s="306">
        <f t="shared" ca="1" si="45"/>
        <v>1.2618988272697607</v>
      </c>
      <c r="N121" s="304">
        <f t="shared" ca="1" si="46"/>
        <v>72.301476975065356</v>
      </c>
      <c r="P121" s="310">
        <f t="shared" ca="1" si="47"/>
        <v>8</v>
      </c>
      <c r="Q121" s="304">
        <f t="shared" ca="1" si="48"/>
        <v>1891.219435114504</v>
      </c>
      <c r="R121" s="306">
        <f t="shared" ca="1" si="49"/>
        <v>1.1373304551833066</v>
      </c>
      <c r="S121" s="307">
        <f t="shared" ca="1" si="50"/>
        <v>22.423390656167186</v>
      </c>
      <c r="T121" s="304">
        <f t="shared" ca="1" si="30"/>
        <v>219.97346233700011</v>
      </c>
      <c r="U121" s="311">
        <f t="shared" ca="1" si="31"/>
        <v>0</v>
      </c>
      <c r="V121" s="306">
        <f t="shared" ca="1" si="32"/>
        <v>1.219891120855058</v>
      </c>
      <c r="W121" s="304">
        <f t="shared" ca="1" si="33"/>
        <v>43.814178333473237</v>
      </c>
      <c r="Y121" s="314" t="str">
        <f t="shared" ca="1" si="51"/>
        <v/>
      </c>
      <c r="Z121" s="315" t="str">
        <f t="shared" ca="1" si="52"/>
        <v/>
      </c>
      <c r="AA121" s="316" t="str">
        <f t="shared" ca="1" si="53"/>
        <v/>
      </c>
      <c r="AC121" s="310" t="e">
        <f t="shared" ca="1" si="54"/>
        <v>#N/A</v>
      </c>
      <c r="AD121" s="323" t="e">
        <f t="shared" ca="1" si="55"/>
        <v>#N/A</v>
      </c>
      <c r="AE121" s="324">
        <f t="shared" ca="1" si="34"/>
        <v>41.792283520219499</v>
      </c>
      <c r="AG121" s="306">
        <f t="shared" ca="1" si="56"/>
        <v>73.076671135247409</v>
      </c>
      <c r="AH121" s="304">
        <f t="shared" ca="1" si="57"/>
        <v>82.423488247707667</v>
      </c>
    </row>
    <row r="122" spans="1:34" x14ac:dyDescent="0.2">
      <c r="A122" s="347">
        <f t="shared" ca="1" si="35"/>
        <v>0.01</v>
      </c>
      <c r="B122" s="304">
        <f t="shared" ca="1" si="36"/>
        <v>1.1800000000000008</v>
      </c>
      <c r="D122" s="306">
        <f t="shared" ca="1" si="37"/>
        <v>25.080479369152982</v>
      </c>
      <c r="E122" s="307">
        <f t="shared" ca="1" si="38"/>
        <v>68.784522668740806</v>
      </c>
      <c r="F122" s="304">
        <f t="shared" ca="1" si="39"/>
        <v>73.21434971474531</v>
      </c>
      <c r="G122" s="306">
        <f t="shared" ca="1" si="40"/>
        <v>24.113483978317721</v>
      </c>
      <c r="H122" s="307">
        <f t="shared" ca="1" si="41"/>
        <v>75.466155980176467</v>
      </c>
      <c r="I122" s="304">
        <f t="shared" ca="1" si="42"/>
        <v>79.225001154918957</v>
      </c>
      <c r="J122" s="306">
        <f t="shared" ca="1" si="43"/>
        <v>12.731348811160263</v>
      </c>
      <c r="K122" s="307">
        <f t="shared" ca="1" si="44"/>
        <v>42.543505853887829</v>
      </c>
      <c r="L122" s="304">
        <f t="shared" ca="1" si="29"/>
        <v>44.407624715708671</v>
      </c>
      <c r="M122" s="306">
        <f t="shared" ca="1" si="45"/>
        <v>1.2615223901044963</v>
      </c>
      <c r="N122" s="304">
        <f t="shared" ca="1" si="46"/>
        <v>72.279908714243845</v>
      </c>
      <c r="P122" s="310">
        <f t="shared" ca="1" si="47"/>
        <v>8</v>
      </c>
      <c r="Q122" s="304">
        <f t="shared" ca="1" si="48"/>
        <v>1892.7884554707382</v>
      </c>
      <c r="R122" s="306">
        <f t="shared" ca="1" si="49"/>
        <v>1.1382740234455688</v>
      </c>
      <c r="S122" s="307">
        <f t="shared" ca="1" si="50"/>
        <v>22.41200791593273</v>
      </c>
      <c r="T122" s="304">
        <f t="shared" ca="1" si="30"/>
        <v>219.86179765530008</v>
      </c>
      <c r="U122" s="311">
        <f t="shared" ca="1" si="31"/>
        <v>0</v>
      </c>
      <c r="V122" s="306">
        <f t="shared" ca="1" si="32"/>
        <v>1.2197994829442893</v>
      </c>
      <c r="W122" s="304">
        <f t="shared" ca="1" si="33"/>
        <v>44.6313076487248</v>
      </c>
      <c r="Y122" s="314" t="str">
        <f t="shared" ca="1" si="51"/>
        <v/>
      </c>
      <c r="Z122" s="315" t="str">
        <f t="shared" ca="1" si="52"/>
        <v/>
      </c>
      <c r="AA122" s="316" t="str">
        <f t="shared" ca="1" si="53"/>
        <v/>
      </c>
      <c r="AC122" s="310" t="e">
        <f t="shared" ca="1" si="54"/>
        <v>#N/A</v>
      </c>
      <c r="AD122" s="323" t="e">
        <f t="shared" ca="1" si="55"/>
        <v>#N/A</v>
      </c>
      <c r="AE122" s="324">
        <f t="shared" ca="1" si="34"/>
        <v>42.543505853887829</v>
      </c>
      <c r="AG122" s="306">
        <f t="shared" ca="1" si="56"/>
        <v>73.153583310746129</v>
      </c>
      <c r="AH122" s="304">
        <f t="shared" ca="1" si="57"/>
        <v>82.499269323514142</v>
      </c>
    </row>
    <row r="123" spans="1:34" x14ac:dyDescent="0.2">
      <c r="A123" s="347">
        <f t="shared" ca="1" si="35"/>
        <v>0.01</v>
      </c>
      <c r="B123" s="304">
        <f t="shared" ca="1" si="36"/>
        <v>1.1900000000000008</v>
      </c>
      <c r="D123" s="306">
        <f t="shared" ca="1" si="37"/>
        <v>25.133049874858461</v>
      </c>
      <c r="E123" s="307">
        <f t="shared" ca="1" si="38"/>
        <v>68.84701463210736</v>
      </c>
      <c r="F123" s="304">
        <f t="shared" ca="1" si="39"/>
        <v>73.291074625534918</v>
      </c>
      <c r="G123" s="306">
        <f t="shared" ca="1" si="40"/>
        <v>24.364814477066304</v>
      </c>
      <c r="H123" s="307">
        <f t="shared" ca="1" si="41"/>
        <v>76.154626126497547</v>
      </c>
      <c r="I123" s="304">
        <f t="shared" ca="1" si="42"/>
        <v>79.957309015301931</v>
      </c>
      <c r="J123" s="306">
        <f t="shared" ca="1" si="43"/>
        <v>12.973740303437182</v>
      </c>
      <c r="K123" s="307">
        <f t="shared" ca="1" si="44"/>
        <v>43.301609764421201</v>
      </c>
      <c r="L123" s="304">
        <f t="shared" ca="1" si="29"/>
        <v>45.203399713420318</v>
      </c>
      <c r="M123" s="306">
        <f t="shared" ca="1" si="45"/>
        <v>1.2611489606615627</v>
      </c>
      <c r="N123" s="304">
        <f t="shared" ca="1" si="46"/>
        <v>72.258512783217824</v>
      </c>
      <c r="P123" s="310">
        <f t="shared" ca="1" si="47"/>
        <v>8</v>
      </c>
      <c r="Q123" s="304">
        <f t="shared" ca="1" si="48"/>
        <v>1894.3574758269722</v>
      </c>
      <c r="R123" s="306">
        <f t="shared" ca="1" si="49"/>
        <v>1.1392175917078311</v>
      </c>
      <c r="S123" s="307">
        <f t="shared" ca="1" si="50"/>
        <v>22.400615740015652</v>
      </c>
      <c r="T123" s="304">
        <f t="shared" ca="1" si="30"/>
        <v>219.75004040955355</v>
      </c>
      <c r="U123" s="311">
        <f t="shared" ca="1" si="31"/>
        <v>0</v>
      </c>
      <c r="V123" s="306">
        <f t="shared" ca="1" si="32"/>
        <v>1.2197070125477159</v>
      </c>
      <c r="W123" s="304">
        <f t="shared" ca="1" si="33"/>
        <v>45.456764198170163</v>
      </c>
      <c r="Y123" s="314" t="str">
        <f t="shared" ca="1" si="51"/>
        <v/>
      </c>
      <c r="Z123" s="315" t="str">
        <f t="shared" ca="1" si="52"/>
        <v/>
      </c>
      <c r="AA123" s="316" t="str">
        <f t="shared" ca="1" si="53"/>
        <v/>
      </c>
      <c r="AC123" s="310" t="e">
        <f t="shared" ca="1" si="54"/>
        <v>#N/A</v>
      </c>
      <c r="AD123" s="323" t="e">
        <f t="shared" ca="1" si="55"/>
        <v>#N/A</v>
      </c>
      <c r="AE123" s="324">
        <f t="shared" ca="1" si="34"/>
        <v>43.301609764421201</v>
      </c>
      <c r="AG123" s="306">
        <f t="shared" ca="1" si="56"/>
        <v>73.230228537769477</v>
      </c>
      <c r="AH123" s="304">
        <f t="shared" ca="1" si="57"/>
        <v>82.574791231026893</v>
      </c>
    </row>
    <row r="124" spans="1:34" x14ac:dyDescent="0.2">
      <c r="A124" s="347">
        <f t="shared" ca="1" si="35"/>
        <v>0.01</v>
      </c>
      <c r="B124" s="304">
        <f t="shared" ca="1" si="36"/>
        <v>1.2000000000000008</v>
      </c>
      <c r="D124" s="306">
        <f t="shared" ca="1" si="37"/>
        <v>25.18535491126211</v>
      </c>
      <c r="E124" s="307">
        <f t="shared" ca="1" si="38"/>
        <v>68.90930602778198</v>
      </c>
      <c r="F124" s="304">
        <f t="shared" ca="1" si="39"/>
        <v>73.367530687878158</v>
      </c>
      <c r="G124" s="306">
        <f t="shared" ca="1" si="40"/>
        <v>24.616668026178925</v>
      </c>
      <c r="H124" s="307">
        <f t="shared" ca="1" si="41"/>
        <v>76.84371918677536</v>
      </c>
      <c r="I124" s="304">
        <f t="shared" ca="1" si="42"/>
        <v>80.690380611118002</v>
      </c>
      <c r="J124" s="306">
        <f t="shared" ca="1" si="43"/>
        <v>13.218647715953409</v>
      </c>
      <c r="K124" s="307">
        <f t="shared" ca="1" si="44"/>
        <v>44.066601490987566</v>
      </c>
      <c r="L124" s="304">
        <f t="shared" ca="1" si="29"/>
        <v>46.006499697368717</v>
      </c>
      <c r="M124" s="306">
        <f t="shared" ca="1" si="45"/>
        <v>1.2607784913888533</v>
      </c>
      <c r="N124" s="304">
        <f t="shared" ca="1" si="46"/>
        <v>72.237286457452299</v>
      </c>
      <c r="P124" s="310">
        <f t="shared" ca="1" si="47"/>
        <v>8</v>
      </c>
      <c r="Q124" s="304">
        <f t="shared" ca="1" si="48"/>
        <v>1895.9264961832064</v>
      </c>
      <c r="R124" s="306">
        <f t="shared" ca="1" si="49"/>
        <v>1.1401611599700934</v>
      </c>
      <c r="S124" s="307">
        <f t="shared" ca="1" si="50"/>
        <v>22.389214128415951</v>
      </c>
      <c r="T124" s="304">
        <f t="shared" ca="1" si="30"/>
        <v>219.63819059976049</v>
      </c>
      <c r="U124" s="311">
        <f t="shared" ca="1" si="31"/>
        <v>0</v>
      </c>
      <c r="V124" s="306">
        <f t="shared" ca="1" si="32"/>
        <v>1.2196137090940973</v>
      </c>
      <c r="W124" s="304">
        <f t="shared" ca="1" si="33"/>
        <v>46.290565202514813</v>
      </c>
      <c r="Y124" s="314" t="str">
        <f t="shared" ca="1" si="51"/>
        <v/>
      </c>
      <c r="Z124" s="315" t="str">
        <f t="shared" ca="1" si="52"/>
        <v/>
      </c>
      <c r="AA124" s="316" t="str">
        <f t="shared" ca="1" si="53"/>
        <v/>
      </c>
      <c r="AC124" s="310" t="e">
        <f t="shared" ca="1" si="54"/>
        <v>#N/A</v>
      </c>
      <c r="AD124" s="323" t="e">
        <f t="shared" ca="1" si="55"/>
        <v>#N/A</v>
      </c>
      <c r="AE124" s="324">
        <f t="shared" ca="1" si="34"/>
        <v>44.066601490987566</v>
      </c>
      <c r="AG124" s="306">
        <f t="shared" ca="1" si="56"/>
        <v>73.306605854036178</v>
      </c>
      <c r="AH124" s="304">
        <f t="shared" ca="1" si="57"/>
        <v>82.650052894730962</v>
      </c>
    </row>
    <row r="125" spans="1:34" x14ac:dyDescent="0.2">
      <c r="A125" s="347">
        <f t="shared" ca="1" si="35"/>
        <v>0.01</v>
      </c>
      <c r="B125" s="304">
        <f t="shared" ca="1" si="36"/>
        <v>1.2100000000000009</v>
      </c>
      <c r="D125" s="306">
        <f t="shared" ca="1" si="37"/>
        <v>25.237397044053257</v>
      </c>
      <c r="E125" s="307">
        <f t="shared" ca="1" si="38"/>
        <v>68.971395166720797</v>
      </c>
      <c r="F125" s="304">
        <f t="shared" ca="1" si="39"/>
        <v>73.443716959336598</v>
      </c>
      <c r="G125" s="306">
        <f t="shared" ca="1" si="40"/>
        <v>24.869041996619458</v>
      </c>
      <c r="H125" s="307">
        <f t="shared" ca="1" si="41"/>
        <v>77.533433138442561</v>
      </c>
      <c r="I125" s="304">
        <f t="shared" ca="1" si="42"/>
        <v>81.424213254184806</v>
      </c>
      <c r="J125" s="306">
        <f t="shared" ca="1" si="43"/>
        <v>13.466076266067402</v>
      </c>
      <c r="K125" s="307">
        <f t="shared" ca="1" si="44"/>
        <v>44.838487252613653</v>
      </c>
      <c r="L125" s="304">
        <f t="shared" ca="1" si="29"/>
        <v>46.816932290639684</v>
      </c>
      <c r="M125" s="306">
        <f t="shared" ca="1" si="45"/>
        <v>1.2604109358674462</v>
      </c>
      <c r="N125" s="304">
        <f t="shared" ca="1" si="46"/>
        <v>72.216227077338942</v>
      </c>
      <c r="P125" s="310">
        <f t="shared" ca="1" si="47"/>
        <v>8</v>
      </c>
      <c r="Q125" s="304">
        <f t="shared" ca="1" si="48"/>
        <v>1897.4955165394404</v>
      </c>
      <c r="R125" s="306">
        <f t="shared" ca="1" si="49"/>
        <v>1.1411047282323556</v>
      </c>
      <c r="S125" s="307">
        <f t="shared" ca="1" si="50"/>
        <v>22.377803081133628</v>
      </c>
      <c r="T125" s="304">
        <f t="shared" ca="1" si="30"/>
        <v>219.52624822592091</v>
      </c>
      <c r="U125" s="311">
        <f t="shared" ca="1" si="31"/>
        <v>0</v>
      </c>
      <c r="V125" s="306">
        <f t="shared" ca="1" si="32"/>
        <v>1.2195195720165684</v>
      </c>
      <c r="W125" s="304">
        <f t="shared" ca="1" si="33"/>
        <v>47.132727741991651</v>
      </c>
      <c r="Y125" s="314" t="str">
        <f t="shared" ca="1" si="51"/>
        <v/>
      </c>
      <c r="Z125" s="315" t="str">
        <f t="shared" ca="1" si="52"/>
        <v/>
      </c>
      <c r="AA125" s="316" t="str">
        <f t="shared" ca="1" si="53"/>
        <v/>
      </c>
      <c r="AC125" s="310" t="e">
        <f t="shared" ca="1" si="54"/>
        <v>#N/A</v>
      </c>
      <c r="AD125" s="323" t="e">
        <f t="shared" ca="1" si="55"/>
        <v>#N/A</v>
      </c>
      <c r="AE125" s="324">
        <f t="shared" ca="1" si="34"/>
        <v>44.838487252613653</v>
      </c>
      <c r="AG125" s="306">
        <f t="shared" ca="1" si="56"/>
        <v>73.382714298091543</v>
      </c>
      <c r="AH125" s="304">
        <f t="shared" ca="1" si="57"/>
        <v>82.725053242498475</v>
      </c>
    </row>
    <row r="126" spans="1:34" x14ac:dyDescent="0.2">
      <c r="A126" s="347">
        <f t="shared" ca="1" si="35"/>
        <v>0.01</v>
      </c>
      <c r="B126" s="304">
        <f t="shared" ca="1" si="36"/>
        <v>1.2200000000000009</v>
      </c>
      <c r="D126" s="306">
        <f t="shared" ca="1" si="37"/>
        <v>25.28917876524147</v>
      </c>
      <c r="E126" s="307">
        <f t="shared" ca="1" si="38"/>
        <v>69.033280379980212</v>
      </c>
      <c r="F126" s="304">
        <f t="shared" ca="1" si="39"/>
        <v>73.519632498002196</v>
      </c>
      <c r="G126" s="306">
        <f t="shared" ca="1" si="40"/>
        <v>25.121933784271874</v>
      </c>
      <c r="H126" s="307">
        <f t="shared" ca="1" si="41"/>
        <v>78.223765942242366</v>
      </c>
      <c r="I126" s="304">
        <f t="shared" ca="1" si="42"/>
        <v>82.158804246702971</v>
      </c>
      <c r="J126" s="306">
        <f t="shared" ca="1" si="43"/>
        <v>13.716031144971859</v>
      </c>
      <c r="K126" s="307">
        <f t="shared" ca="1" si="44"/>
        <v>45.617273248017078</v>
      </c>
      <c r="L126" s="304">
        <f t="shared" ca="1" si="29"/>
        <v>47.634705089399816</v>
      </c>
      <c r="M126" s="306">
        <f t="shared" ca="1" si="45"/>
        <v>1.2600462487753801</v>
      </c>
      <c r="N126" s="304">
        <f t="shared" ca="1" si="46"/>
        <v>72.195332046120654</v>
      </c>
      <c r="P126" s="310">
        <f t="shared" ca="1" si="47"/>
        <v>8</v>
      </c>
      <c r="Q126" s="304">
        <f t="shared" ca="1" si="48"/>
        <v>1899.0645368956746</v>
      </c>
      <c r="R126" s="306">
        <f t="shared" ca="1" si="49"/>
        <v>1.1420482964946179</v>
      </c>
      <c r="S126" s="307">
        <f t="shared" ca="1" si="50"/>
        <v>22.366382598168681</v>
      </c>
      <c r="T126" s="304">
        <f t="shared" ca="1" si="30"/>
        <v>219.41421328803477</v>
      </c>
      <c r="U126" s="311">
        <f t="shared" ca="1" si="31"/>
        <v>0</v>
      </c>
      <c r="V126" s="306">
        <f t="shared" ca="1" si="32"/>
        <v>1.2194246007526648</v>
      </c>
      <c r="W126" s="304">
        <f t="shared" ca="1" si="33"/>
        <v>47.983268755451469</v>
      </c>
      <c r="Y126" s="314" t="str">
        <f t="shared" ca="1" si="51"/>
        <v/>
      </c>
      <c r="Z126" s="315" t="str">
        <f t="shared" ca="1" si="52"/>
        <v/>
      </c>
      <c r="AA126" s="316" t="str">
        <f t="shared" ca="1" si="53"/>
        <v/>
      </c>
      <c r="AC126" s="310" t="e">
        <f t="shared" ca="1" si="54"/>
        <v>#N/A</v>
      </c>
      <c r="AD126" s="323" t="e">
        <f t="shared" ca="1" si="55"/>
        <v>#N/A</v>
      </c>
      <c r="AE126" s="324">
        <f t="shared" ca="1" si="34"/>
        <v>45.617273248017078</v>
      </c>
      <c r="AG126" s="306">
        <f t="shared" ca="1" si="56"/>
        <v>73.458552909431418</v>
      </c>
      <c r="AH126" s="304">
        <f t="shared" ca="1" si="57"/>
        <v>82.799791205633568</v>
      </c>
    </row>
    <row r="127" spans="1:34" x14ac:dyDescent="0.2">
      <c r="A127" s="347">
        <f t="shared" ca="1" si="35"/>
        <v>0.01</v>
      </c>
      <c r="B127" s="304">
        <f t="shared" ca="1" si="36"/>
        <v>1.2300000000000009</v>
      </c>
      <c r="D127" s="306">
        <f t="shared" ca="1" si="37"/>
        <v>25.340702495610447</v>
      </c>
      <c r="E127" s="307">
        <f t="shared" ca="1" si="38"/>
        <v>69.094960018231362</v>
      </c>
      <c r="F127" s="304">
        <f t="shared" ca="1" si="39"/>
        <v>73.595276362630969</v>
      </c>
      <c r="G127" s="306">
        <f t="shared" ca="1" si="40"/>
        <v>25.375340809227978</v>
      </c>
      <c r="H127" s="307">
        <f t="shared" ca="1" si="41"/>
        <v>78.914715542424673</v>
      </c>
      <c r="I127" s="304">
        <f t="shared" ca="1" si="42"/>
        <v>82.894150881267095</v>
      </c>
      <c r="J127" s="306">
        <f t="shared" ca="1" si="43"/>
        <v>13.968517517939359</v>
      </c>
      <c r="K127" s="307">
        <f t="shared" ca="1" si="44"/>
        <v>46.402965655440411</v>
      </c>
      <c r="L127" s="304">
        <f t="shared" ca="1" si="29"/>
        <v>48.459825662799915</v>
      </c>
      <c r="M127" s="306">
        <f t="shared" ca="1" si="45"/>
        <v>1.2596843858528812</v>
      </c>
      <c r="N127" s="304">
        <f t="shared" ca="1" si="46"/>
        <v>72.174598827899203</v>
      </c>
      <c r="P127" s="310">
        <f t="shared" ca="1" si="47"/>
        <v>8</v>
      </c>
      <c r="Q127" s="304">
        <f t="shared" ca="1" si="48"/>
        <v>1900.6335572519088</v>
      </c>
      <c r="R127" s="306">
        <f t="shared" ca="1" si="49"/>
        <v>1.1429918647568802</v>
      </c>
      <c r="S127" s="307">
        <f t="shared" ca="1" si="50"/>
        <v>22.354952679521112</v>
      </c>
      <c r="T127" s="304">
        <f t="shared" ca="1" si="30"/>
        <v>219.30208578610211</v>
      </c>
      <c r="U127" s="311">
        <f t="shared" ca="1" si="31"/>
        <v>0</v>
      </c>
      <c r="V127" s="306">
        <f t="shared" ca="1" si="32"/>
        <v>1.2193287947443436</v>
      </c>
      <c r="W127" s="304">
        <f t="shared" ca="1" si="33"/>
        <v>48.842205039456353</v>
      </c>
      <c r="Y127" s="314" t="str">
        <f t="shared" ca="1" si="51"/>
        <v/>
      </c>
      <c r="Z127" s="315" t="str">
        <f t="shared" ca="1" si="52"/>
        <v/>
      </c>
      <c r="AA127" s="316" t="str">
        <f t="shared" ca="1" si="53"/>
        <v/>
      </c>
      <c r="AC127" s="310" t="e">
        <f t="shared" ca="1" si="54"/>
        <v>#N/A</v>
      </c>
      <c r="AD127" s="323" t="e">
        <f t="shared" ca="1" si="55"/>
        <v>#N/A</v>
      </c>
      <c r="AE127" s="324">
        <f t="shared" ca="1" si="34"/>
        <v>46.402965655440411</v>
      </c>
      <c r="AG127" s="306">
        <f t="shared" ca="1" si="56"/>
        <v>73.534120728623279</v>
      </c>
      <c r="AH127" s="304">
        <f t="shared" ca="1" si="57"/>
        <v>82.8742657189174</v>
      </c>
    </row>
    <row r="128" spans="1:34" x14ac:dyDescent="0.2">
      <c r="A128" s="347">
        <f t="shared" ca="1" si="35"/>
        <v>0.01</v>
      </c>
      <c r="B128" s="304">
        <f t="shared" ca="1" si="36"/>
        <v>1.2400000000000009</v>
      </c>
      <c r="D128" s="306">
        <f t="shared" ca="1" si="37"/>
        <v>25.391970587073217</v>
      </c>
      <c r="E128" s="307">
        <f t="shared" ca="1" si="38"/>
        <v>69.156432451295245</v>
      </c>
      <c r="F128" s="304">
        <f t="shared" ca="1" si="39"/>
        <v>73.670647612772854</v>
      </c>
      <c r="G128" s="306">
        <f t="shared" ca="1" si="40"/>
        <v>25.629260515098711</v>
      </c>
      <c r="H128" s="307">
        <f t="shared" ca="1" si="41"/>
        <v>79.606279866937626</v>
      </c>
      <c r="I128" s="304">
        <f t="shared" ca="1" si="42"/>
        <v>83.630250440878129</v>
      </c>
      <c r="J128" s="306">
        <f t="shared" ca="1" si="43"/>
        <v>14.223540524560992</v>
      </c>
      <c r="K128" s="307">
        <f t="shared" ca="1" si="44"/>
        <v>47.195570632487225</v>
      </c>
      <c r="L128" s="304">
        <f t="shared" ca="1" si="29"/>
        <v>49.292301552878612</v>
      </c>
      <c r="M128" s="306">
        <f t="shared" ca="1" si="45"/>
        <v>1.2593253038689662</v>
      </c>
      <c r="N128" s="304">
        <f t="shared" ca="1" si="46"/>
        <v>72.154024945721687</v>
      </c>
      <c r="P128" s="310">
        <f t="shared" ca="1" si="47"/>
        <v>8</v>
      </c>
      <c r="Q128" s="304">
        <f t="shared" ca="1" si="48"/>
        <v>1902.2025776081427</v>
      </c>
      <c r="R128" s="306">
        <f t="shared" ca="1" si="49"/>
        <v>1.1439354330191425</v>
      </c>
      <c r="S128" s="307">
        <f t="shared" ca="1" si="50"/>
        <v>22.343513325190919</v>
      </c>
      <c r="T128" s="304">
        <f t="shared" ca="1" si="30"/>
        <v>219.18986572012292</v>
      </c>
      <c r="U128" s="311">
        <f t="shared" ca="1" si="31"/>
        <v>0</v>
      </c>
      <c r="V128" s="306">
        <f t="shared" ca="1" si="32"/>
        <v>1.2192321534380111</v>
      </c>
      <c r="W128" s="304">
        <f t="shared" ca="1" si="33"/>
        <v>49.709553247377009</v>
      </c>
      <c r="Y128" s="314" t="str">
        <f t="shared" ca="1" si="51"/>
        <v/>
      </c>
      <c r="Z128" s="315" t="str">
        <f t="shared" ca="1" si="52"/>
        <v/>
      </c>
      <c r="AA128" s="316" t="str">
        <f t="shared" ca="1" si="53"/>
        <v/>
      </c>
      <c r="AC128" s="310" t="e">
        <f t="shared" ca="1" si="54"/>
        <v>#N/A</v>
      </c>
      <c r="AD128" s="323" t="e">
        <f t="shared" ca="1" si="55"/>
        <v>#N/A</v>
      </c>
      <c r="AE128" s="324">
        <f t="shared" ca="1" si="34"/>
        <v>47.195570632487225</v>
      </c>
      <c r="AG128" s="306">
        <f t="shared" ca="1" si="56"/>
        <v>73.609416797424061</v>
      </c>
      <c r="AH128" s="304">
        <f t="shared" ca="1" si="57"/>
        <v>82.948475720653036</v>
      </c>
    </row>
    <row r="129" spans="1:34" x14ac:dyDescent="0.2">
      <c r="A129" s="347">
        <f t="shared" ca="1" si="35"/>
        <v>0.01</v>
      </c>
      <c r="B129" s="304">
        <f t="shared" ca="1" si="36"/>
        <v>1.2500000000000009</v>
      </c>
      <c r="D129" s="306">
        <f t="shared" ca="1" si="37"/>
        <v>25.442985324933748</v>
      </c>
      <c r="E129" s="307">
        <f t="shared" ca="1" si="38"/>
        <v>69.217696067697545</v>
      </c>
      <c r="F129" s="304">
        <f t="shared" ca="1" si="39"/>
        <v>73.745745308898648</v>
      </c>
      <c r="G129" s="306">
        <f t="shared" ca="1" si="40"/>
        <v>25.883690368348049</v>
      </c>
      <c r="H129" s="307">
        <f t="shared" ca="1" si="41"/>
        <v>80.298456827614601</v>
      </c>
      <c r="I129" s="304">
        <f t="shared" ca="1" si="42"/>
        <v>84.367100198956692</v>
      </c>
      <c r="J129" s="306">
        <f t="shared" ca="1" si="43"/>
        <v>14.481105278978225</v>
      </c>
      <c r="K129" s="307">
        <f t="shared" ca="1" si="44"/>
        <v>47.995094315959989</v>
      </c>
      <c r="L129" s="304">
        <f t="shared" ca="1" si="29"/>
        <v>50.132140274466096</v>
      </c>
      <c r="M129" s="306">
        <f t="shared" ca="1" si="45"/>
        <v>1.2589689605893593</v>
      </c>
      <c r="N129" s="304">
        <f t="shared" ca="1" si="46"/>
        <v>72.133607979742351</v>
      </c>
      <c r="P129" s="310">
        <f t="shared" ca="1" si="47"/>
        <v>8</v>
      </c>
      <c r="Q129" s="304">
        <f t="shared" ca="1" si="48"/>
        <v>1903.771597964377</v>
      </c>
      <c r="R129" s="306">
        <f t="shared" ca="1" si="49"/>
        <v>1.1448790012814047</v>
      </c>
      <c r="S129" s="307">
        <f t="shared" ca="1" si="50"/>
        <v>22.332064535178105</v>
      </c>
      <c r="T129" s="304">
        <f t="shared" ca="1" si="30"/>
        <v>219.07755309009721</v>
      </c>
      <c r="U129" s="311">
        <f t="shared" ca="1" si="31"/>
        <v>0</v>
      </c>
      <c r="V129" s="306">
        <f t="shared" ca="1" si="32"/>
        <v>1.219134676284541</v>
      </c>
      <c r="W129" s="304">
        <f t="shared" ca="1" si="33"/>
        <v>50.585329888492858</v>
      </c>
      <c r="Y129" s="314" t="str">
        <f t="shared" ca="1" si="51"/>
        <v/>
      </c>
      <c r="Z129" s="315" t="str">
        <f t="shared" ca="1" si="52"/>
        <v/>
      </c>
      <c r="AA129" s="316" t="str">
        <f t="shared" ca="1" si="53"/>
        <v/>
      </c>
      <c r="AC129" s="310" t="e">
        <f t="shared" ca="1" si="54"/>
        <v>#N/A</v>
      </c>
      <c r="AD129" s="323" t="e">
        <f t="shared" ca="1" si="55"/>
        <v>#N/A</v>
      </c>
      <c r="AE129" s="324">
        <f t="shared" ca="1" si="34"/>
        <v>47.995094315959989</v>
      </c>
      <c r="AG129" s="306">
        <f t="shared" ca="1" si="56"/>
        <v>73.684440158895399</v>
      </c>
      <c r="AH129" s="304">
        <f t="shared" ca="1" si="57"/>
        <v>83.022420152710396</v>
      </c>
    </row>
    <row r="130" spans="1:34" x14ac:dyDescent="0.2">
      <c r="A130" s="347">
        <f t="shared" ca="1" si="35"/>
        <v>0.01</v>
      </c>
      <c r="B130" s="304">
        <f t="shared" ca="1" si="36"/>
        <v>1.2600000000000009</v>
      </c>
      <c r="D130" s="306">
        <f t="shared" ca="1" si="37"/>
        <v>25.493748930059155</v>
      </c>
      <c r="E130" s="307">
        <f t="shared" ca="1" si="38"/>
        <v>69.278749274242358</v>
      </c>
      <c r="F130" s="304">
        <f t="shared" ca="1" si="39"/>
        <v>73.820568512523849</v>
      </c>
      <c r="G130" s="306">
        <f t="shared" ca="1" si="40"/>
        <v>26.13862785764864</v>
      </c>
      <c r="H130" s="307">
        <f t="shared" ca="1" si="41"/>
        <v>80.991244320357026</v>
      </c>
      <c r="I130" s="304">
        <f t="shared" ca="1" si="42"/>
        <v>85.104697419357592</v>
      </c>
      <c r="J130" s="306">
        <f t="shared" ca="1" si="43"/>
        <v>14.741216870108209</v>
      </c>
      <c r="K130" s="307">
        <f t="shared" ca="1" si="44"/>
        <v>48.801542821699847</v>
      </c>
      <c r="L130" s="304">
        <f t="shared" ca="1" si="29"/>
        <v>50.979349315088037</v>
      </c>
      <c r="M130" s="306">
        <f t="shared" ca="1" si="45"/>
        <v>1.2586153147456602</v>
      </c>
      <c r="N130" s="304">
        <f t="shared" ca="1" si="46"/>
        <v>72.113345565456058</v>
      </c>
      <c r="P130" s="310">
        <f t="shared" ca="1" si="47"/>
        <v>8</v>
      </c>
      <c r="Q130" s="304">
        <f t="shared" ca="1" si="48"/>
        <v>1905.3406183206109</v>
      </c>
      <c r="R130" s="306">
        <f t="shared" ca="1" si="49"/>
        <v>1.145822569543667</v>
      </c>
      <c r="S130" s="307">
        <f t="shared" ca="1" si="50"/>
        <v>22.32060630948267</v>
      </c>
      <c r="T130" s="304">
        <f t="shared" ca="1" si="30"/>
        <v>218.965147896025</v>
      </c>
      <c r="U130" s="311">
        <f t="shared" ca="1" si="31"/>
        <v>0</v>
      </c>
      <c r="V130" s="306">
        <f t="shared" ca="1" si="32"/>
        <v>1.2190363627392993</v>
      </c>
      <c r="W130" s="304">
        <f t="shared" ca="1" si="33"/>
        <v>51.469551327095935</v>
      </c>
      <c r="Y130" s="314" t="str">
        <f t="shared" ca="1" si="51"/>
        <v/>
      </c>
      <c r="Z130" s="315" t="str">
        <f t="shared" ca="1" si="52"/>
        <v/>
      </c>
      <c r="AA130" s="316" t="str">
        <f t="shared" ca="1" si="53"/>
        <v/>
      </c>
      <c r="AC130" s="310" t="e">
        <f t="shared" ca="1" si="54"/>
        <v>#N/A</v>
      </c>
      <c r="AD130" s="323" t="e">
        <f t="shared" ca="1" si="55"/>
        <v>#N/A</v>
      </c>
      <c r="AE130" s="324">
        <f t="shared" ca="1" si="34"/>
        <v>48.801542821699847</v>
      </c>
      <c r="AG130" s="306">
        <f t="shared" ca="1" si="56"/>
        <v>73.759189857516219</v>
      </c>
      <c r="AH130" s="304">
        <f t="shared" ca="1" si="57"/>
        <v>83.096097960571313</v>
      </c>
    </row>
    <row r="131" spans="1:34" x14ac:dyDescent="0.2">
      <c r="A131" s="347">
        <f t="shared" ca="1" si="35"/>
        <v>0.01</v>
      </c>
      <c r="B131" s="304">
        <f t="shared" ca="1" si="36"/>
        <v>1.2700000000000009</v>
      </c>
      <c r="D131" s="306">
        <f t="shared" ca="1" si="37"/>
        <v>25.544263560966915</v>
      </c>
      <c r="E131" s="307">
        <f t="shared" ca="1" si="38"/>
        <v>69.339590495603545</v>
      </c>
      <c r="F131" s="304">
        <f t="shared" ca="1" si="39"/>
        <v>73.89511628632934</v>
      </c>
      <c r="G131" s="306">
        <f t="shared" ca="1" si="40"/>
        <v>26.394070493258308</v>
      </c>
      <c r="H131" s="307">
        <f t="shared" ca="1" si="41"/>
        <v>81.684640225313061</v>
      </c>
      <c r="I131" s="304">
        <f t="shared" ca="1" si="42"/>
        <v>85.843039356385333</v>
      </c>
      <c r="J131" s="306">
        <f t="shared" ca="1" si="43"/>
        <v>15.003880361862745</v>
      </c>
      <c r="K131" s="307">
        <f t="shared" ca="1" si="44"/>
        <v>49.6149222444282</v>
      </c>
      <c r="L131" s="304">
        <f t="shared" ca="1" si="29"/>
        <v>51.83393613486966</v>
      </c>
      <c r="M131" s="306">
        <f t="shared" ca="1" si="45"/>
        <v>1.2582643260057049</v>
      </c>
      <c r="N131" s="304">
        <f t="shared" ca="1" si="46"/>
        <v>72.093235392000011</v>
      </c>
      <c r="P131" s="310">
        <f t="shared" ca="1" si="47"/>
        <v>8</v>
      </c>
      <c r="Q131" s="304">
        <f t="shared" ca="1" si="48"/>
        <v>1906.9096386768451</v>
      </c>
      <c r="R131" s="306">
        <f t="shared" ca="1" si="49"/>
        <v>1.1467661378059293</v>
      </c>
      <c r="S131" s="307">
        <f t="shared" ca="1" si="50"/>
        <v>22.309138648104611</v>
      </c>
      <c r="T131" s="304">
        <f t="shared" ca="1" si="30"/>
        <v>218.85265013790624</v>
      </c>
      <c r="U131" s="311">
        <f t="shared" ca="1" si="31"/>
        <v>0</v>
      </c>
      <c r="V131" s="306">
        <f t="shared" ca="1" si="32"/>
        <v>1.2189372122621673</v>
      </c>
      <c r="W131" s="304">
        <f t="shared" ca="1" si="33"/>
        <v>52.362233781598277</v>
      </c>
      <c r="Y131" s="314" t="str">
        <f t="shared" ca="1" si="51"/>
        <v/>
      </c>
      <c r="Z131" s="315" t="str">
        <f t="shared" ca="1" si="52"/>
        <v/>
      </c>
      <c r="AA131" s="316" t="str">
        <f t="shared" ca="1" si="53"/>
        <v/>
      </c>
      <c r="AC131" s="310" t="e">
        <f t="shared" ca="1" si="54"/>
        <v>#N/A</v>
      </c>
      <c r="AD131" s="323" t="e">
        <f t="shared" ca="1" si="55"/>
        <v>#N/A</v>
      </c>
      <c r="AE131" s="324">
        <f t="shared" ca="1" si="34"/>
        <v>49.6149222444282</v>
      </c>
      <c r="AG131" s="306">
        <f t="shared" ca="1" si="56"/>
        <v>73.83366493929276</v>
      </c>
      <c r="AH131" s="304">
        <f t="shared" ca="1" si="57"/>
        <v>83.169508093374446</v>
      </c>
    </row>
    <row r="132" spans="1:34" x14ac:dyDescent="0.2">
      <c r="A132" s="347">
        <f t="shared" ca="1" si="35"/>
        <v>0.01</v>
      </c>
      <c r="B132" s="304">
        <f t="shared" ca="1" si="36"/>
        <v>1.2800000000000009</v>
      </c>
      <c r="D132" s="306">
        <f t="shared" ca="1" si="37"/>
        <v>25.594531315831048</v>
      </c>
      <c r="E132" s="307">
        <f t="shared" ca="1" si="38"/>
        <v>69.400218173933339</v>
      </c>
      <c r="F132" s="304">
        <f t="shared" ca="1" si="39"/>
        <v>73.969387694279334</v>
      </c>
      <c r="G132" s="306">
        <f t="shared" ca="1" si="40"/>
        <v>26.650015806416619</v>
      </c>
      <c r="H132" s="307">
        <f t="shared" ca="1" si="41"/>
        <v>82.378642407052396</v>
      </c>
      <c r="I132" s="304">
        <f t="shared" ca="1" si="42"/>
        <v>86.582123254810895</v>
      </c>
      <c r="J132" s="306">
        <f t="shared" ca="1" si="43"/>
        <v>15.269100793361119</v>
      </c>
      <c r="K132" s="307">
        <f t="shared" ca="1" si="44"/>
        <v>50.435238657590027</v>
      </c>
      <c r="L132" s="304">
        <f t="shared" ref="L132:L195" ca="1" si="58">SQRT(pos_x^2+pos_z^2)</f>
        <v>52.695908166440063</v>
      </c>
      <c r="M132" s="306">
        <f t="shared" ca="1" si="45"/>
        <v>1.2579159549450647</v>
      </c>
      <c r="N132" s="304">
        <f t="shared" ca="1" si="46"/>
        <v>72.073275200520825</v>
      </c>
      <c r="P132" s="310">
        <f t="shared" ca="1" si="47"/>
        <v>8</v>
      </c>
      <c r="Q132" s="304">
        <f t="shared" ca="1" si="48"/>
        <v>1908.4786590330791</v>
      </c>
      <c r="R132" s="306">
        <f t="shared" ca="1" si="49"/>
        <v>1.1477097060681916</v>
      </c>
      <c r="S132" s="307">
        <f t="shared" ca="1" si="50"/>
        <v>22.29766155104393</v>
      </c>
      <c r="T132" s="304">
        <f t="shared" ref="T132:T195" ca="1" si="59">m*g</f>
        <v>218.74005981574098</v>
      </c>
      <c r="U132" s="311">
        <f t="shared" ref="U132:U195" ca="1" si="60">IF(pos_xz&lt;L_rampe,Poids*COS(Beta),0)</f>
        <v>0</v>
      </c>
      <c r="V132" s="306">
        <f t="shared" ref="V132:V195" ca="1" si="61">Rho_moyen*(20000-Alt_rampe-pos_z)/(20000+Alt_rampe+pos_z)</f>
        <v>1.2188372243175623</v>
      </c>
      <c r="W132" s="304">
        <f t="shared" ref="W132:W195" ca="1" si="62">1/2*Rho*Sref*Cx*vit_xz^2</f>
        <v>53.263393323643008</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50.435238657590027</v>
      </c>
      <c r="AG132" s="306">
        <f t="shared" ca="1" si="56"/>
        <v>73.907864451866047</v>
      </c>
      <c r="AH132" s="304">
        <f t="shared" ca="1" si="57"/>
        <v>83.242649503960266</v>
      </c>
    </row>
    <row r="133" spans="1:34" x14ac:dyDescent="0.2">
      <c r="A133" s="347">
        <f t="shared" ref="A133:A196" ca="1" si="64">IF(B132+0.01&lt;=T_ini+ROUNDUP(Temps_fin_propu,0), 0.01, IF(K132&gt;0, 0.1, 0.0001))</f>
        <v>0.01</v>
      </c>
      <c r="B133" s="304">
        <f t="shared" ref="B133:B196" ca="1" si="65">B132+pas</f>
        <v>1.2900000000000009</v>
      </c>
      <c r="D133" s="306">
        <f t="shared" ref="D133:D196" ca="1" si="66">IF(AND(L132&lt;L_rampe,Poussee&lt;Poids*SIN(M132)),0,(-W132+Poussee)/m*COS(M132)-U132/m*SIN(M132))</f>
        <v>25.64455423441094</v>
      </c>
      <c r="E133" s="307">
        <f t="shared" ref="E133:E196" ca="1" si="67">IF(AND(L132&lt;L_rampe,Poussee&lt;Poids*SIN(M132)),0,(-W132+Poussee)/m*SIN(M132)+U132/m*COS(M132)-Poids/m)</f>
        <v>69.460630768487221</v>
      </c>
      <c r="F133" s="304">
        <f t="shared" ref="F133:F196" ca="1" si="68">SQRT(acc_x^2+acc_z^2)</f>
        <v>74.043381801736729</v>
      </c>
      <c r="G133" s="306">
        <f t="shared" ref="G133:G196" ca="1" si="69">G132+acc_x*pas</f>
        <v>26.906461348760729</v>
      </c>
      <c r="H133" s="307">
        <f t="shared" ref="H133:H196" ca="1" si="70">H132+acc_z*pas</f>
        <v>83.073248714737275</v>
      </c>
      <c r="I133" s="304">
        <f t="shared" ref="I133:I196" ca="1" si="71">SQRT(vit_x^2+vit_z^2)</f>
        <v>87.321946349889345</v>
      </c>
      <c r="J133" s="306">
        <f t="shared" ref="J133:J196" ca="1" si="72">J132+0.5*(vit_x+G132)*pas*(K132&gt;=0)</f>
        <v>15.536883179137005</v>
      </c>
      <c r="K133" s="307">
        <f t="shared" ref="K133:K196" ca="1" si="73">K132+0.5*(vit_z+H132)*pas</f>
        <v>51.262498113198973</v>
      </c>
      <c r="L133" s="304">
        <f t="shared" ca="1" si="58"/>
        <v>53.565272814836653</v>
      </c>
      <c r="M133" s="306">
        <f t="shared" ref="M133:M196" ca="1" si="74">IF(AND(L132&gt;L_rampe,G133&gt;0),ATAN2(G133,H133),$M$4)</f>
        <v>1.2575701630196288</v>
      </c>
      <c r="N133" s="304">
        <f t="shared" ref="N133:N196" ca="1" si="75">DEGREES(Beta)</f>
        <v>72.053462782603646</v>
      </c>
      <c r="P133" s="310">
        <f t="shared" ref="P133:P196" ca="1" si="76">MATCH(t-pas/2-T_ini,CdP_t)</f>
        <v>8</v>
      </c>
      <c r="Q133" s="304">
        <f t="shared" ref="Q133:Q196" ca="1" si="77">(INDEX(CdP,2,i_P+1)-INDEX(CdP,2,i_P+0))/(INDEX(CdP,1,i_P+1)-INDEX(CdP,1,i_P+0))*(t-pas/2-T_ini-INDEX(CdP,1,i_P+0))+INDEX(CdP,2,i_P+0)</f>
        <v>1910.0476793893133</v>
      </c>
      <c r="R133" s="306">
        <f t="shared" ref="R133:R196" ca="1" si="78">Poussee/(g*ISP)</f>
        <v>1.1486532743304538</v>
      </c>
      <c r="S133" s="307">
        <f t="shared" ref="S133:S196" ca="1" si="79">S132-Débit*pas</f>
        <v>22.286175018300625</v>
      </c>
      <c r="T133" s="304">
        <f t="shared" ca="1" si="59"/>
        <v>218.62737692952913</v>
      </c>
      <c r="U133" s="311">
        <f t="shared" ca="1" si="60"/>
        <v>0</v>
      </c>
      <c r="V133" s="306">
        <f t="shared" ca="1" si="61"/>
        <v>1.2187363983744588</v>
      </c>
      <c r="W133" s="304">
        <f t="shared" ca="1" si="62"/>
        <v>54.17304587721906</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51.262498113198973</v>
      </c>
      <c r="AG133" s="306">
        <f t="shared" ref="AG133:AG196" ca="1" si="85">IF(AND(L132&lt;L_rampe,Poussee&lt;Poids*SIN(M132)),0,(-W132+Poussee)/m-Poids*SIN(M132)/m)</f>
        <v>73.981787444617225</v>
      </c>
      <c r="AH133" s="304">
        <f t="shared" ref="AH133:AH196" ca="1" si="86">IF(AND(L132&lt;L_rampe,Poussee&lt;Poids*SIN(M132)), g*SIN(M132), (-W132+Poussee)/m)</f>
        <v>83.315521148916048</v>
      </c>
    </row>
    <row r="134" spans="1:34" x14ac:dyDescent="0.2">
      <c r="A134" s="347">
        <f t="shared" ca="1" si="64"/>
        <v>0.01</v>
      </c>
      <c r="B134" s="304">
        <f t="shared" ca="1" si="65"/>
        <v>1.3000000000000009</v>
      </c>
      <c r="D134" s="306">
        <f t="shared" ca="1" si="66"/>
        <v>25.694334299906664</v>
      </c>
      <c r="E134" s="307">
        <f t="shared" ca="1" si="67"/>
        <v>69.520826755264252</v>
      </c>
      <c r="F134" s="304">
        <f t="shared" ca="1" si="68"/>
        <v>74.117097675575678</v>
      </c>
      <c r="G134" s="306">
        <f t="shared" ca="1" si="69"/>
        <v>27.163404691759794</v>
      </c>
      <c r="H134" s="307">
        <f t="shared" ca="1" si="70"/>
        <v>83.768456982289919</v>
      </c>
      <c r="I134" s="304">
        <f t="shared" ca="1" si="71"/>
        <v>88.062505867378505</v>
      </c>
      <c r="J134" s="306">
        <f t="shared" ca="1" si="72"/>
        <v>15.807232509339608</v>
      </c>
      <c r="K134" s="307">
        <f t="shared" ca="1" si="73"/>
        <v>52.096706641684108</v>
      </c>
      <c r="L134" s="304">
        <f t="shared" ca="1" si="58"/>
        <v>54.442037457409839</v>
      </c>
      <c r="M134" s="306">
        <f t="shared" ca="1" si="74"/>
        <v>1.2572269125392248</v>
      </c>
      <c r="N134" s="304">
        <f t="shared" ca="1" si="75"/>
        <v>72.033795978760665</v>
      </c>
      <c r="P134" s="310">
        <f t="shared" ca="1" si="76"/>
        <v>8</v>
      </c>
      <c r="Q134" s="304">
        <f t="shared" ca="1" si="77"/>
        <v>1911.6166997455473</v>
      </c>
      <c r="R134" s="306">
        <f t="shared" ca="1" si="78"/>
        <v>1.1495968425927159</v>
      </c>
      <c r="S134" s="307">
        <f t="shared" ca="1" si="79"/>
        <v>22.274679049874699</v>
      </c>
      <c r="T134" s="304">
        <f t="shared" ca="1" si="59"/>
        <v>218.51460147927079</v>
      </c>
      <c r="U134" s="311">
        <f t="shared" ca="1" si="60"/>
        <v>0</v>
      </c>
      <c r="V134" s="306">
        <f t="shared" ca="1" si="61"/>
        <v>1.2186347339064125</v>
      </c>
      <c r="W134" s="304">
        <f t="shared" ca="1" si="62"/>
        <v>55.091207217779726</v>
      </c>
      <c r="Y134" s="314" t="str">
        <f t="shared" ca="1" si="80"/>
        <v/>
      </c>
      <c r="Z134" s="315" t="str">
        <f t="shared" ca="1" si="81"/>
        <v/>
      </c>
      <c r="AA134" s="316" t="str">
        <f t="shared" ca="1" si="82"/>
        <v/>
      </c>
      <c r="AC134" s="310" t="e">
        <f t="shared" ca="1" si="83"/>
        <v>#N/A</v>
      </c>
      <c r="AD134" s="323" t="e">
        <f t="shared" ca="1" si="84"/>
        <v>#N/A</v>
      </c>
      <c r="AE134" s="324">
        <f t="shared" ca="1" si="63"/>
        <v>52.096706641684108</v>
      </c>
      <c r="AG134" s="306">
        <f t="shared" ca="1" si="85"/>
        <v>74.055432968770504</v>
      </c>
      <c r="AH134" s="304">
        <f t="shared" ca="1" si="86"/>
        <v>83.388121988620838</v>
      </c>
    </row>
    <row r="135" spans="1:34" x14ac:dyDescent="0.2">
      <c r="A135" s="347">
        <f t="shared" ca="1" si="64"/>
        <v>0.01</v>
      </c>
      <c r="B135" s="304">
        <f t="shared" ca="1" si="65"/>
        <v>1.3100000000000009</v>
      </c>
      <c r="D135" s="306">
        <f t="shared" ca="1" si="66"/>
        <v>25.743873440743823</v>
      </c>
      <c r="E135" s="307">
        <f t="shared" ca="1" si="67"/>
        <v>69.580804626662342</v>
      </c>
      <c r="F135" s="304">
        <f t="shared" ca="1" si="68"/>
        <v>74.190534384291837</v>
      </c>
      <c r="G135" s="306">
        <f t="shared" ca="1" si="69"/>
        <v>27.420843426167231</v>
      </c>
      <c r="H135" s="307">
        <f t="shared" ca="1" si="70"/>
        <v>84.46426502855654</v>
      </c>
      <c r="I135" s="304">
        <f t="shared" ca="1" si="71"/>
        <v>88.803799023558767</v>
      </c>
      <c r="J135" s="306">
        <f t="shared" ca="1" si="72"/>
        <v>16.080153749929242</v>
      </c>
      <c r="K135" s="307">
        <f t="shared" ca="1" si="73"/>
        <v>52.937870251738339</v>
      </c>
      <c r="L135" s="304">
        <f t="shared" ca="1" si="58"/>
        <v>55.326209443727905</v>
      </c>
      <c r="M135" s="306">
        <f t="shared" ca="1" si="74"/>
        <v>1.2568861666422269</v>
      </c>
      <c r="N135" s="304">
        <f t="shared" ca="1" si="75"/>
        <v>72.014272676976276</v>
      </c>
      <c r="P135" s="310">
        <f t="shared" ca="1" si="76"/>
        <v>8</v>
      </c>
      <c r="Q135" s="304">
        <f t="shared" ca="1" si="77"/>
        <v>1913.1857201017815</v>
      </c>
      <c r="R135" s="306">
        <f t="shared" ca="1" si="78"/>
        <v>1.1505404108549784</v>
      </c>
      <c r="S135" s="307">
        <f t="shared" ca="1" si="79"/>
        <v>22.263173645766148</v>
      </c>
      <c r="T135" s="304">
        <f t="shared" ca="1" si="59"/>
        <v>218.40173346496593</v>
      </c>
      <c r="U135" s="311">
        <f t="shared" ca="1" si="60"/>
        <v>0</v>
      </c>
      <c r="V135" s="306">
        <f t="shared" ca="1" si="61"/>
        <v>1.2185322303915795</v>
      </c>
      <c r="W135" s="304">
        <f t="shared" ca="1" si="62"/>
        <v>56.017892971365264</v>
      </c>
      <c r="Y135" s="314" t="str">
        <f t="shared" ca="1" si="80"/>
        <v/>
      </c>
      <c r="Z135" s="315" t="str">
        <f t="shared" ca="1" si="81"/>
        <v/>
      </c>
      <c r="AA135" s="316" t="str">
        <f t="shared" ca="1" si="82"/>
        <v/>
      </c>
      <c r="AC135" s="310" t="e">
        <f t="shared" ca="1" si="83"/>
        <v>#N/A</v>
      </c>
      <c r="AD135" s="323" t="e">
        <f t="shared" ca="1" si="84"/>
        <v>#N/A</v>
      </c>
      <c r="AE135" s="324">
        <f t="shared" ca="1" si="63"/>
        <v>52.937870251738339</v>
      </c>
      <c r="AG135" s="306">
        <f t="shared" ca="1" si="85"/>
        <v>74.128800077494134</v>
      </c>
      <c r="AH135" s="304">
        <f t="shared" ca="1" si="86"/>
        <v>83.460450987290429</v>
      </c>
    </row>
    <row r="136" spans="1:34" x14ac:dyDescent="0.2">
      <c r="A136" s="347">
        <f t="shared" ca="1" si="64"/>
        <v>0.01</v>
      </c>
      <c r="B136" s="304">
        <f t="shared" ca="1" si="65"/>
        <v>1.320000000000001</v>
      </c>
      <c r="D136" s="306">
        <f t="shared" ca="1" si="66"/>
        <v>25.793173532291451</v>
      </c>
      <c r="E136" s="307">
        <f t="shared" ca="1" si="67"/>
        <v>69.640562891147724</v>
      </c>
      <c r="F136" s="304">
        <f t="shared" ca="1" si="68"/>
        <v>74.263690998110249</v>
      </c>
      <c r="G136" s="306">
        <f t="shared" ca="1" si="69"/>
        <v>27.678775161490144</v>
      </c>
      <c r="H136" s="307">
        <f t="shared" ca="1" si="70"/>
        <v>85.160670657468017</v>
      </c>
      <c r="I136" s="304">
        <f t="shared" ca="1" si="71"/>
        <v>89.545823025253711</v>
      </c>
      <c r="J136" s="306">
        <f t="shared" ca="1" si="72"/>
        <v>16.355651842867527</v>
      </c>
      <c r="K136" s="307">
        <f t="shared" ca="1" si="73"/>
        <v>53.785994930168464</v>
      </c>
      <c r="L136" s="304">
        <f t="shared" ca="1" si="58"/>
        <v>56.217796095482107</v>
      </c>
      <c r="M136" s="306">
        <f t="shared" ca="1" si="74"/>
        <v>1.2565478892711093</v>
      </c>
      <c r="N136" s="304">
        <f t="shared" ca="1" si="75"/>
        <v>71.994890811306462</v>
      </c>
      <c r="P136" s="310">
        <f t="shared" ca="1" si="76"/>
        <v>8</v>
      </c>
      <c r="Q136" s="304">
        <f t="shared" ca="1" si="77"/>
        <v>1914.7547404580155</v>
      </c>
      <c r="R136" s="306">
        <f t="shared" ca="1" si="78"/>
        <v>1.1514839791172404</v>
      </c>
      <c r="S136" s="307">
        <f t="shared" ca="1" si="79"/>
        <v>22.251658805974976</v>
      </c>
      <c r="T136" s="304">
        <f t="shared" ca="1" si="59"/>
        <v>218.28877288661454</v>
      </c>
      <c r="U136" s="311">
        <f t="shared" ca="1" si="60"/>
        <v>0</v>
      </c>
      <c r="V136" s="306">
        <f t="shared" ca="1" si="61"/>
        <v>1.2184288873127387</v>
      </c>
      <c r="W136" s="304">
        <f t="shared" ca="1" si="62"/>
        <v>56.953118613729238</v>
      </c>
      <c r="Y136" s="314" t="str">
        <f t="shared" ca="1" si="80"/>
        <v/>
      </c>
      <c r="Z136" s="315" t="str">
        <f t="shared" ca="1" si="81"/>
        <v/>
      </c>
      <c r="AA136" s="316" t="str">
        <f t="shared" ca="1" si="82"/>
        <v/>
      </c>
      <c r="AC136" s="310" t="e">
        <f t="shared" ca="1" si="83"/>
        <v>#N/A</v>
      </c>
      <c r="AD136" s="323" t="e">
        <f t="shared" ca="1" si="84"/>
        <v>#N/A</v>
      </c>
      <c r="AE136" s="324">
        <f t="shared" ca="1" si="63"/>
        <v>53.785994930168464</v>
      </c>
      <c r="AG136" s="306">
        <f t="shared" ca="1" si="85"/>
        <v>74.201887825999222</v>
      </c>
      <c r="AH136" s="304">
        <f t="shared" ca="1" si="86"/>
        <v>83.532507113022305</v>
      </c>
    </row>
    <row r="137" spans="1:34" x14ac:dyDescent="0.2">
      <c r="A137" s="347">
        <f t="shared" ca="1" si="64"/>
        <v>0.01</v>
      </c>
      <c r="B137" s="304">
        <f t="shared" ca="1" si="65"/>
        <v>1.330000000000001</v>
      </c>
      <c r="D137" s="306">
        <f t="shared" ca="1" si="66"/>
        <v>25.842236398515709</v>
      </c>
      <c r="E137" s="307">
        <f t="shared" ca="1" si="67"/>
        <v>69.700100072937886</v>
      </c>
      <c r="F137" s="304">
        <f t="shared" ca="1" si="68"/>
        <v>74.336566589090765</v>
      </c>
      <c r="G137" s="306">
        <f t="shared" ca="1" si="69"/>
        <v>27.937197525475302</v>
      </c>
      <c r="H137" s="307">
        <f t="shared" ca="1" si="70"/>
        <v>85.85767165819739</v>
      </c>
      <c r="I137" s="304">
        <f t="shared" ca="1" si="71"/>
        <v>90.288575069851746</v>
      </c>
      <c r="J137" s="306">
        <f t="shared" ca="1" si="72"/>
        <v>16.633731706302353</v>
      </c>
      <c r="K137" s="307">
        <f t="shared" ca="1" si="73"/>
        <v>54.641086641746789</v>
      </c>
      <c r="L137" s="304">
        <f t="shared" ca="1" si="58"/>
        <v>57.116804706392038</v>
      </c>
      <c r="M137" s="306">
        <f t="shared" ca="1" si="74"/>
        <v>1.2562120451489012</v>
      </c>
      <c r="N137" s="304">
        <f t="shared" ca="1" si="75"/>
        <v>71.975648360529661</v>
      </c>
      <c r="P137" s="310">
        <f t="shared" ca="1" si="76"/>
        <v>8</v>
      </c>
      <c r="Q137" s="304">
        <f t="shared" ca="1" si="77"/>
        <v>1916.3237608142497</v>
      </c>
      <c r="R137" s="306">
        <f t="shared" ca="1" si="78"/>
        <v>1.1524275473795027</v>
      </c>
      <c r="S137" s="307">
        <f t="shared" ca="1" si="79"/>
        <v>22.24013453050118</v>
      </c>
      <c r="T137" s="304">
        <f t="shared" ca="1" si="59"/>
        <v>218.17571974421659</v>
      </c>
      <c r="U137" s="311">
        <f t="shared" ca="1" si="60"/>
        <v>0</v>
      </c>
      <c r="V137" s="306">
        <f t="shared" ca="1" si="61"/>
        <v>1.2183247041573111</v>
      </c>
      <c r="W137" s="304">
        <f t="shared" ca="1" si="62"/>
        <v>57.896899469469048</v>
      </c>
      <c r="Y137" s="314" t="str">
        <f t="shared" ca="1" si="80"/>
        <v/>
      </c>
      <c r="Z137" s="315" t="str">
        <f t="shared" ca="1" si="81"/>
        <v/>
      </c>
      <c r="AA137" s="316" t="str">
        <f t="shared" ca="1" si="82"/>
        <v/>
      </c>
      <c r="AC137" s="310" t="e">
        <f t="shared" ca="1" si="83"/>
        <v>#N/A</v>
      </c>
      <c r="AD137" s="323" t="e">
        <f t="shared" ca="1" si="84"/>
        <v>#N/A</v>
      </c>
      <c r="AE137" s="324">
        <f t="shared" ca="1" si="63"/>
        <v>54.641086641746789</v>
      </c>
      <c r="AG137" s="306">
        <f t="shared" ca="1" si="85"/>
        <v>74.274695271636588</v>
      </c>
      <c r="AH137" s="304">
        <f t="shared" ca="1" si="86"/>
        <v>83.604289337840598</v>
      </c>
    </row>
    <row r="138" spans="1:34" x14ac:dyDescent="0.2">
      <c r="A138" s="347">
        <f t="shared" ca="1" si="64"/>
        <v>0.01</v>
      </c>
      <c r="B138" s="304">
        <f t="shared" ca="1" si="65"/>
        <v>1.340000000000001</v>
      </c>
      <c r="D138" s="306">
        <f t="shared" ca="1" si="66"/>
        <v>25.891063813572597</v>
      </c>
      <c r="E138" s="307">
        <f t="shared" ca="1" si="67"/>
        <v>69.759414711697445</v>
      </c>
      <c r="F138" s="304">
        <f t="shared" ca="1" si="68"/>
        <v>74.409160231231468</v>
      </c>
      <c r="G138" s="306">
        <f t="shared" ca="1" si="69"/>
        <v>28.196108163611029</v>
      </c>
      <c r="H138" s="307">
        <f t="shared" ca="1" si="70"/>
        <v>86.555265805314363</v>
      </c>
      <c r="I138" s="304">
        <f t="shared" ca="1" si="71"/>
        <v>91.032052345328751</v>
      </c>
      <c r="J138" s="306">
        <f t="shared" ca="1" si="72"/>
        <v>16.914398234747786</v>
      </c>
      <c r="K138" s="307">
        <f t="shared" ca="1" si="73"/>
        <v>55.503151329064345</v>
      </c>
      <c r="L138" s="304">
        <f t="shared" ca="1" si="58"/>
        <v>58.023242542111142</v>
      </c>
      <c r="M138" s="306">
        <f t="shared" ca="1" si="74"/>
        <v>1.2558785997565056</v>
      </c>
      <c r="N138" s="304">
        <f t="shared" ca="1" si="75"/>
        <v>71.956543346847312</v>
      </c>
      <c r="P138" s="310">
        <f t="shared" ca="1" si="76"/>
        <v>8</v>
      </c>
      <c r="Q138" s="304">
        <f t="shared" ca="1" si="77"/>
        <v>1917.8927811704837</v>
      </c>
      <c r="R138" s="306">
        <f t="shared" ca="1" si="78"/>
        <v>1.153371115641765</v>
      </c>
      <c r="S138" s="307">
        <f t="shared" ca="1" si="79"/>
        <v>22.228600819344763</v>
      </c>
      <c r="T138" s="304">
        <f t="shared" ca="1" si="59"/>
        <v>218.06257403777212</v>
      </c>
      <c r="U138" s="311">
        <f t="shared" ca="1" si="60"/>
        <v>0</v>
      </c>
      <c r="V138" s="306">
        <f t="shared" ca="1" si="61"/>
        <v>1.2182196804173824</v>
      </c>
      <c r="W138" s="304">
        <f t="shared" ca="1" si="62"/>
        <v>58.849250711160664</v>
      </c>
      <c r="Y138" s="314" t="str">
        <f t="shared" ca="1" si="80"/>
        <v/>
      </c>
      <c r="Z138" s="315" t="str">
        <f t="shared" ca="1" si="81"/>
        <v/>
      </c>
      <c r="AA138" s="316" t="str">
        <f t="shared" ca="1" si="82"/>
        <v/>
      </c>
      <c r="AC138" s="310" t="e">
        <f t="shared" ca="1" si="83"/>
        <v>#N/A</v>
      </c>
      <c r="AD138" s="323" t="e">
        <f t="shared" ca="1" si="84"/>
        <v>#N/A</v>
      </c>
      <c r="AE138" s="324">
        <f t="shared" ca="1" si="63"/>
        <v>55.503151329064345</v>
      </c>
      <c r="AG138" s="306">
        <f t="shared" ca="1" si="85"/>
        <v>74.347221473991866</v>
      </c>
      <c r="AH138" s="304">
        <f t="shared" ca="1" si="86"/>
        <v>83.675796637740973</v>
      </c>
    </row>
    <row r="139" spans="1:34" x14ac:dyDescent="0.2">
      <c r="A139" s="347">
        <f t="shared" ca="1" si="64"/>
        <v>0.01</v>
      </c>
      <c r="B139" s="304">
        <f t="shared" ca="1" si="65"/>
        <v>1.350000000000001</v>
      </c>
      <c r="D139" s="306">
        <f t="shared" ca="1" si="66"/>
        <v>25.939657503342051</v>
      </c>
      <c r="E139" s="307">
        <f t="shared" ca="1" si="67"/>
        <v>69.818505362246668</v>
      </c>
      <c r="F139" s="304">
        <f t="shared" ca="1" si="68"/>
        <v>74.481471000570053</v>
      </c>
      <c r="G139" s="306">
        <f t="shared" ca="1" si="69"/>
        <v>28.45550473864445</v>
      </c>
      <c r="H139" s="307">
        <f t="shared" ca="1" si="70"/>
        <v>87.25345085893683</v>
      </c>
      <c r="I139" s="304">
        <f t="shared" ca="1" si="71"/>
        <v>91.776252030271536</v>
      </c>
      <c r="J139" s="306">
        <f t="shared" ca="1" si="72"/>
        <v>17.197656299259062</v>
      </c>
      <c r="K139" s="307">
        <f t="shared" ca="1" si="73"/>
        <v>56.372194912385602</v>
      </c>
      <c r="L139" s="304">
        <f t="shared" ca="1" si="58"/>
        <v>58.937116840132568</v>
      </c>
      <c r="M139" s="306">
        <f t="shared" ca="1" si="74"/>
        <v>1.2555475193108425</v>
      </c>
      <c r="N139" s="304">
        <f t="shared" ca="1" si="75"/>
        <v>71.937573834631507</v>
      </c>
      <c r="P139" s="310">
        <f t="shared" ca="1" si="76"/>
        <v>8</v>
      </c>
      <c r="Q139" s="304">
        <f t="shared" ca="1" si="77"/>
        <v>1919.4618015267179</v>
      </c>
      <c r="R139" s="306">
        <f t="shared" ca="1" si="78"/>
        <v>1.1543146839040272</v>
      </c>
      <c r="S139" s="307">
        <f t="shared" ca="1" si="79"/>
        <v>22.217057672505721</v>
      </c>
      <c r="T139" s="304">
        <f t="shared" ca="1" si="59"/>
        <v>217.94933576728113</v>
      </c>
      <c r="U139" s="311">
        <f t="shared" ca="1" si="60"/>
        <v>0</v>
      </c>
      <c r="V139" s="306">
        <f t="shared" ca="1" si="61"/>
        <v>1.2181138155897215</v>
      </c>
      <c r="W139" s="304">
        <f t="shared" ca="1" si="62"/>
        <v>59.810187358497387</v>
      </c>
      <c r="Y139" s="314" t="str">
        <f t="shared" ca="1" si="80"/>
        <v/>
      </c>
      <c r="Z139" s="315" t="str">
        <f t="shared" ca="1" si="81"/>
        <v/>
      </c>
      <c r="AA139" s="316" t="str">
        <f t="shared" ca="1" si="82"/>
        <v/>
      </c>
      <c r="AC139" s="310" t="e">
        <f t="shared" ca="1" si="83"/>
        <v>#N/A</v>
      </c>
      <c r="AD139" s="323" t="e">
        <f t="shared" ca="1" si="84"/>
        <v>#N/A</v>
      </c>
      <c r="AE139" s="324">
        <f t="shared" ca="1" si="63"/>
        <v>56.372194912385602</v>
      </c>
      <c r="AG139" s="306">
        <f t="shared" ca="1" si="85"/>
        <v>74.419465494978638</v>
      </c>
      <c r="AH139" s="304">
        <f t="shared" ca="1" si="86"/>
        <v>83.747027992735568</v>
      </c>
    </row>
    <row r="140" spans="1:34" x14ac:dyDescent="0.2">
      <c r="A140" s="347">
        <f t="shared" ca="1" si="64"/>
        <v>0.01</v>
      </c>
      <c r="B140" s="304">
        <f t="shared" ca="1" si="65"/>
        <v>1.360000000000001</v>
      </c>
      <c r="D140" s="306">
        <f t="shared" ca="1" si="66"/>
        <v>25.98801914690624</v>
      </c>
      <c r="E140" s="307">
        <f t="shared" ca="1" si="67"/>
        <v>69.877370594281459</v>
      </c>
      <c r="F140" s="304">
        <f t="shared" ca="1" si="68"/>
        <v>74.553497975282937</v>
      </c>
      <c r="G140" s="306">
        <f t="shared" ca="1" si="69"/>
        <v>28.715384930113512</v>
      </c>
      <c r="H140" s="307">
        <f t="shared" ca="1" si="70"/>
        <v>87.952224564879643</v>
      </c>
      <c r="I140" s="304">
        <f t="shared" ca="1" si="71"/>
        <v>92.521171293902285</v>
      </c>
      <c r="J140" s="306">
        <f t="shared" ca="1" si="72"/>
        <v>17.483510747602853</v>
      </c>
      <c r="K140" s="307">
        <f t="shared" ca="1" si="73"/>
        <v>57.248223289504686</v>
      </c>
      <c r="L140" s="304">
        <f t="shared" ca="1" si="58"/>
        <v>59.858434809695211</v>
      </c>
      <c r="M140" s="306">
        <f t="shared" ca="1" si="74"/>
        <v>1.2552187707437799</v>
      </c>
      <c r="N140" s="304">
        <f t="shared" ca="1" si="75"/>
        <v>71.918737929217841</v>
      </c>
      <c r="P140" s="310">
        <f t="shared" ca="1" si="76"/>
        <v>8</v>
      </c>
      <c r="Q140" s="304">
        <f t="shared" ca="1" si="77"/>
        <v>1921.0308218829518</v>
      </c>
      <c r="R140" s="306">
        <f t="shared" ca="1" si="78"/>
        <v>1.1552582521662895</v>
      </c>
      <c r="S140" s="307">
        <f t="shared" ca="1" si="79"/>
        <v>22.205505089984058</v>
      </c>
      <c r="T140" s="304">
        <f t="shared" ca="1" si="59"/>
        <v>217.83600493274363</v>
      </c>
      <c r="U140" s="311">
        <f t="shared" ca="1" si="60"/>
        <v>0</v>
      </c>
      <c r="V140" s="306">
        <f t="shared" ca="1" si="61"/>
        <v>1.2180071091758029</v>
      </c>
      <c r="W140" s="304">
        <f t="shared" ca="1" si="62"/>
        <v>60.779724277433118</v>
      </c>
      <c r="Y140" s="314" t="str">
        <f t="shared" ca="1" si="80"/>
        <v/>
      </c>
      <c r="Z140" s="315" t="str">
        <f t="shared" ca="1" si="81"/>
        <v/>
      </c>
      <c r="AA140" s="316" t="str">
        <f t="shared" ca="1" si="82"/>
        <v/>
      </c>
      <c r="AC140" s="310" t="e">
        <f t="shared" ca="1" si="83"/>
        <v>#N/A</v>
      </c>
      <c r="AD140" s="323" t="e">
        <f t="shared" ca="1" si="84"/>
        <v>#N/A</v>
      </c>
      <c r="AE140" s="324">
        <f t="shared" ca="1" si="63"/>
        <v>57.248223289504686</v>
      </c>
      <c r="AG140" s="306">
        <f t="shared" ca="1" si="85"/>
        <v>74.491426398930059</v>
      </c>
      <c r="AH140" s="304">
        <f t="shared" ca="1" si="86"/>
        <v>83.817982386897853</v>
      </c>
    </row>
    <row r="141" spans="1:34" x14ac:dyDescent="0.2">
      <c r="A141" s="347">
        <f t="shared" ca="1" si="64"/>
        <v>0.01</v>
      </c>
      <c r="B141" s="304">
        <f t="shared" ca="1" si="65"/>
        <v>1.370000000000001</v>
      </c>
      <c r="D141" s="306">
        <f t="shared" ca="1" si="66"/>
        <v>26.036150377974522</v>
      </c>
      <c r="E141" s="307">
        <f t="shared" ca="1" si="67"/>
        <v>69.936008992105059</v>
      </c>
      <c r="F141" s="304">
        <f t="shared" ca="1" si="68"/>
        <v>74.62524023578284</v>
      </c>
      <c r="G141" s="306">
        <f t="shared" ca="1" si="69"/>
        <v>28.975746433893256</v>
      </c>
      <c r="H141" s="307">
        <f t="shared" ca="1" si="70"/>
        <v>88.6515846548007</v>
      </c>
      <c r="I141" s="304">
        <f t="shared" ca="1" si="71"/>
        <v>93.266807296103863</v>
      </c>
      <c r="J141" s="306">
        <f t="shared" ca="1" si="72"/>
        <v>17.771966404422887</v>
      </c>
      <c r="K141" s="307">
        <f t="shared" ca="1" si="73"/>
        <v>58.131242335603091</v>
      </c>
      <c r="L141" s="304">
        <f t="shared" ca="1" si="58"/>
        <v>60.787203631690026</v>
      </c>
      <c r="M141" s="306">
        <f t="shared" ca="1" si="74"/>
        <v>1.2548923216818211</v>
      </c>
      <c r="N141" s="304">
        <f t="shared" ca="1" si="75"/>
        <v>71.900033775741591</v>
      </c>
      <c r="P141" s="310">
        <f t="shared" ca="1" si="76"/>
        <v>8</v>
      </c>
      <c r="Q141" s="304">
        <f t="shared" ca="1" si="77"/>
        <v>1922.599842239186</v>
      </c>
      <c r="R141" s="306">
        <f t="shared" ca="1" si="78"/>
        <v>1.1562018204285518</v>
      </c>
      <c r="S141" s="307">
        <f t="shared" ca="1" si="79"/>
        <v>22.193943071779774</v>
      </c>
      <c r="T141" s="304">
        <f t="shared" ca="1" si="59"/>
        <v>217.72258153415959</v>
      </c>
      <c r="U141" s="311">
        <f t="shared" ca="1" si="60"/>
        <v>0</v>
      </c>
      <c r="V141" s="306">
        <f t="shared" ca="1" si="61"/>
        <v>1.2178995606818235</v>
      </c>
      <c r="W141" s="304">
        <f t="shared" ca="1" si="62"/>
        <v>61.75787617932982</v>
      </c>
      <c r="Y141" s="314" t="str">
        <f t="shared" ca="1" si="80"/>
        <v/>
      </c>
      <c r="Z141" s="315" t="str">
        <f t="shared" ca="1" si="81"/>
        <v/>
      </c>
      <c r="AA141" s="316" t="str">
        <f t="shared" ca="1" si="82"/>
        <v/>
      </c>
      <c r="AC141" s="310" t="e">
        <f t="shared" ca="1" si="83"/>
        <v>#N/A</v>
      </c>
      <c r="AD141" s="323" t="e">
        <f t="shared" ca="1" si="84"/>
        <v>#N/A</v>
      </c>
      <c r="AE141" s="324">
        <f t="shared" ca="1" si="63"/>
        <v>58.131242335603091</v>
      </c>
      <c r="AG141" s="306">
        <f t="shared" ca="1" si="85"/>
        <v>74.563103252688606</v>
      </c>
      <c r="AH141" s="304">
        <f t="shared" ca="1" si="86"/>
        <v>83.888658808407499</v>
      </c>
    </row>
    <row r="142" spans="1:34" x14ac:dyDescent="0.2">
      <c r="A142" s="347">
        <f t="shared" ca="1" si="64"/>
        <v>0.01</v>
      </c>
      <c r="B142" s="304">
        <f t="shared" ca="1" si="65"/>
        <v>1.380000000000001</v>
      </c>
      <c r="D142" s="306">
        <f t="shared" ca="1" si="66"/>
        <v>26.084052786257182</v>
      </c>
      <c r="E142" s="307">
        <f t="shared" ca="1" si="67"/>
        <v>69.994419154370348</v>
      </c>
      <c r="F142" s="304">
        <f t="shared" ca="1" si="68"/>
        <v>74.696696864814157</v>
      </c>
      <c r="G142" s="306">
        <f t="shared" ca="1" si="69"/>
        <v>29.23658696175583</v>
      </c>
      <c r="H142" s="307">
        <f t="shared" ca="1" si="70"/>
        <v>89.351528846344408</v>
      </c>
      <c r="I142" s="304">
        <f t="shared" ca="1" si="71"/>
        <v>94.013157187445998</v>
      </c>
      <c r="J142" s="306">
        <f t="shared" ca="1" si="72"/>
        <v>18.063028071401131</v>
      </c>
      <c r="K142" s="307">
        <f t="shared" ca="1" si="73"/>
        <v>59.021257903108818</v>
      </c>
      <c r="L142" s="304">
        <f t="shared" ca="1" si="58"/>
        <v>61.723430458566625</v>
      </c>
      <c r="M142" s="306">
        <f t="shared" ca="1" si="74"/>
        <v>1.2545681404265128</v>
      </c>
      <c r="N142" s="304">
        <f t="shared" ca="1" si="75"/>
        <v>71.88145955801518</v>
      </c>
      <c r="P142" s="310">
        <f t="shared" ca="1" si="76"/>
        <v>8</v>
      </c>
      <c r="Q142" s="304">
        <f t="shared" ca="1" si="77"/>
        <v>1924.1688625954203</v>
      </c>
      <c r="R142" s="306">
        <f t="shared" ca="1" si="78"/>
        <v>1.1571453886908141</v>
      </c>
      <c r="S142" s="307">
        <f t="shared" ca="1" si="79"/>
        <v>22.182371617892866</v>
      </c>
      <c r="T142" s="304">
        <f t="shared" ca="1" si="59"/>
        <v>217.60906557152902</v>
      </c>
      <c r="U142" s="311">
        <f t="shared" ca="1" si="60"/>
        <v>0</v>
      </c>
      <c r="V142" s="306">
        <f t="shared" ca="1" si="61"/>
        <v>1.2177911696187247</v>
      </c>
      <c r="W142" s="304">
        <f t="shared" ca="1" si="62"/>
        <v>62.744657620109564</v>
      </c>
      <c r="Y142" s="314" t="str">
        <f t="shared" ca="1" si="80"/>
        <v/>
      </c>
      <c r="Z142" s="315" t="str">
        <f t="shared" ca="1" si="81"/>
        <v/>
      </c>
      <c r="AA142" s="316" t="str">
        <f t="shared" ca="1" si="82"/>
        <v/>
      </c>
      <c r="AC142" s="310" t="e">
        <f t="shared" ca="1" si="83"/>
        <v>#N/A</v>
      </c>
      <c r="AD142" s="323" t="e">
        <f t="shared" ca="1" si="84"/>
        <v>#N/A</v>
      </c>
      <c r="AE142" s="324">
        <f t="shared" ca="1" si="63"/>
        <v>59.021257903108818</v>
      </c>
      <c r="AG142" s="306">
        <f t="shared" ca="1" si="85"/>
        <v>74.6344951256944</v>
      </c>
      <c r="AH142" s="304">
        <f t="shared" ca="1" si="86"/>
        <v>83.959056249595164</v>
      </c>
    </row>
    <row r="143" spans="1:34" x14ac:dyDescent="0.2">
      <c r="A143" s="347">
        <f t="shared" ca="1" si="64"/>
        <v>0.01</v>
      </c>
      <c r="B143" s="304">
        <f t="shared" ca="1" si="65"/>
        <v>1.390000000000001</v>
      </c>
      <c r="D143" s="306">
        <f t="shared" ca="1" si="66"/>
        <v>26.131727918790478</v>
      </c>
      <c r="E143" s="307">
        <f t="shared" ca="1" si="67"/>
        <v>70.052599693832576</v>
      </c>
      <c r="F143" s="304">
        <f t="shared" ca="1" si="68"/>
        <v>74.767866947546693</v>
      </c>
      <c r="G143" s="306">
        <f t="shared" ca="1" si="69"/>
        <v>29.497904240943733</v>
      </c>
      <c r="H143" s="307">
        <f t="shared" ca="1" si="70"/>
        <v>90.052054843282733</v>
      </c>
      <c r="I143" s="304">
        <f t="shared" ca="1" si="71"/>
        <v>94.760218109212303</v>
      </c>
      <c r="J143" s="306">
        <f t="shared" ca="1" si="72"/>
        <v>18.356700527414628</v>
      </c>
      <c r="K143" s="307">
        <f t="shared" ca="1" si="73"/>
        <v>59.918275821556954</v>
      </c>
      <c r="L143" s="304">
        <f t="shared" ca="1" si="58"/>
        <v>62.667122414240161</v>
      </c>
      <c r="M143" s="306">
        <f t="shared" ca="1" si="74"/>
        <v>1.2542461959355469</v>
      </c>
      <c r="N143" s="304">
        <f t="shared" ca="1" si="75"/>
        <v>71.863013497445337</v>
      </c>
      <c r="P143" s="310">
        <f t="shared" ca="1" si="76"/>
        <v>8</v>
      </c>
      <c r="Q143" s="304">
        <f t="shared" ca="1" si="77"/>
        <v>1925.7378829516542</v>
      </c>
      <c r="R143" s="306">
        <f t="shared" ca="1" si="78"/>
        <v>1.1580889569530763</v>
      </c>
      <c r="S143" s="307">
        <f t="shared" ca="1" si="79"/>
        <v>22.170790728323336</v>
      </c>
      <c r="T143" s="304">
        <f t="shared" ca="1" si="59"/>
        <v>217.49545704485195</v>
      </c>
      <c r="U143" s="311">
        <f t="shared" ca="1" si="60"/>
        <v>0</v>
      </c>
      <c r="V143" s="306">
        <f t="shared" ca="1" si="61"/>
        <v>1.2176819355022122</v>
      </c>
      <c r="W143" s="304">
        <f t="shared" ca="1" si="62"/>
        <v>63.740082999411115</v>
      </c>
      <c r="Y143" s="314" t="str">
        <f t="shared" ca="1" si="80"/>
        <v/>
      </c>
      <c r="Z143" s="315" t="str">
        <f t="shared" ca="1" si="81"/>
        <v/>
      </c>
      <c r="AA143" s="316" t="str">
        <f t="shared" ca="1" si="82"/>
        <v/>
      </c>
      <c r="AC143" s="310" t="e">
        <f t="shared" ca="1" si="83"/>
        <v>#N/A</v>
      </c>
      <c r="AD143" s="323" t="e">
        <f t="shared" ca="1" si="84"/>
        <v>#N/A</v>
      </c>
      <c r="AE143" s="324">
        <f t="shared" ca="1" si="63"/>
        <v>59.918275821556954</v>
      </c>
      <c r="AG143" s="306">
        <f t="shared" ca="1" si="85"/>
        <v>74.705601090071838</v>
      </c>
      <c r="AH143" s="304">
        <f t="shared" ca="1" si="86"/>
        <v>84.02917370698728</v>
      </c>
    </row>
    <row r="144" spans="1:34" x14ac:dyDescent="0.2">
      <c r="A144" s="347">
        <f t="shared" ca="1" si="64"/>
        <v>0.01</v>
      </c>
      <c r="B144" s="304">
        <f t="shared" ca="1" si="65"/>
        <v>1.400000000000001</v>
      </c>
      <c r="D144" s="306">
        <f t="shared" ca="1" si="66"/>
        <v>26.179177281214692</v>
      </c>
      <c r="E144" s="307">
        <f t="shared" ca="1" si="67"/>
        <v>70.110549237112281</v>
      </c>
      <c r="F144" s="304">
        <f t="shared" ca="1" si="68"/>
        <v>74.838749571667833</v>
      </c>
      <c r="G144" s="306">
        <f t="shared" ca="1" si="69"/>
        <v>29.759696013755878</v>
      </c>
      <c r="H144" s="307">
        <f t="shared" ca="1" si="70"/>
        <v>90.75316033565386</v>
      </c>
      <c r="I144" s="304">
        <f t="shared" ca="1" si="71"/>
        <v>95.507987193428249</v>
      </c>
      <c r="J144" s="306">
        <f t="shared" ca="1" si="72"/>
        <v>18.652988528688127</v>
      </c>
      <c r="K144" s="307">
        <f t="shared" ca="1" si="73"/>
        <v>60.822301897451638</v>
      </c>
      <c r="L144" s="304">
        <f t="shared" ca="1" si="58"/>
        <v>63.618286593998427</v>
      </c>
      <c r="M144" s="306">
        <f t="shared" ca="1" si="74"/>
        <v>1.2539264578045222</v>
      </c>
      <c r="N144" s="304">
        <f t="shared" ca="1" si="75"/>
        <v>71.844693851988225</v>
      </c>
      <c r="P144" s="310">
        <f t="shared" ca="1" si="76"/>
        <v>8</v>
      </c>
      <c r="Q144" s="304">
        <f t="shared" ca="1" si="77"/>
        <v>1927.3069033078884</v>
      </c>
      <c r="R144" s="306">
        <f t="shared" ca="1" si="78"/>
        <v>1.1590325252153386</v>
      </c>
      <c r="S144" s="307">
        <f t="shared" ca="1" si="79"/>
        <v>22.159200403071182</v>
      </c>
      <c r="T144" s="304">
        <f t="shared" ca="1" si="59"/>
        <v>217.38175595412829</v>
      </c>
      <c r="U144" s="311">
        <f t="shared" ca="1" si="60"/>
        <v>0</v>
      </c>
      <c r="V144" s="306">
        <f t="shared" ca="1" si="61"/>
        <v>1.217571857852773</v>
      </c>
      <c r="W144" s="304">
        <f t="shared" ca="1" si="62"/>
        <v>64.744166559751065</v>
      </c>
      <c r="Y144" s="314" t="str">
        <f t="shared" ca="1" si="80"/>
        <v/>
      </c>
      <c r="Z144" s="315" t="str">
        <f t="shared" ca="1" si="81"/>
        <v/>
      </c>
      <c r="AA144" s="316" t="str">
        <f t="shared" ca="1" si="82"/>
        <v/>
      </c>
      <c r="AC144" s="310" t="e">
        <f t="shared" ca="1" si="83"/>
        <v>#N/A</v>
      </c>
      <c r="AD144" s="323" t="e">
        <f t="shared" ca="1" si="84"/>
        <v>#N/A</v>
      </c>
      <c r="AE144" s="324">
        <f t="shared" ca="1" si="63"/>
        <v>60.822301897451638</v>
      </c>
      <c r="AG144" s="306">
        <f t="shared" ca="1" si="85"/>
        <v>74.776420220715039</v>
      </c>
      <c r="AH144" s="304">
        <f t="shared" ca="1" si="86"/>
        <v>84.099010181350863</v>
      </c>
    </row>
    <row r="145" spans="1:34" x14ac:dyDescent="0.2">
      <c r="A145" s="347">
        <f t="shared" ca="1" si="64"/>
        <v>0.01</v>
      </c>
      <c r="B145" s="304">
        <f t="shared" ca="1" si="65"/>
        <v>1.410000000000001</v>
      </c>
      <c r="D145" s="306">
        <f t="shared" ca="1" si="66"/>
        <v>26.226402339007617</v>
      </c>
      <c r="E145" s="307">
        <f t="shared" ca="1" si="67"/>
        <v>70.168266424467305</v>
      </c>
      <c r="F145" s="304">
        <f t="shared" ca="1" si="68"/>
        <v>74.909343827472753</v>
      </c>
      <c r="G145" s="306">
        <f t="shared" ca="1" si="69"/>
        <v>30.021960037145956</v>
      </c>
      <c r="H145" s="307">
        <f t="shared" ca="1" si="70"/>
        <v>91.454842999898531</v>
      </c>
      <c r="I145" s="304">
        <f t="shared" ca="1" si="71"/>
        <v>96.256461562889783</v>
      </c>
      <c r="J145" s="306">
        <f t="shared" ca="1" si="72"/>
        <v>18.951896808942635</v>
      </c>
      <c r="K145" s="307">
        <f t="shared" ca="1" si="73"/>
        <v>61.733341914129397</v>
      </c>
      <c r="L145" s="304">
        <f t="shared" ca="1" si="58"/>
        <v>64.576930064409339</v>
      </c>
      <c r="M145" s="306">
        <f t="shared" ca="1" si="74"/>
        <v>1.2536088962493421</v>
      </c>
      <c r="N145" s="304">
        <f t="shared" ca="1" si="75"/>
        <v>71.826498915140803</v>
      </c>
      <c r="P145" s="310">
        <f t="shared" ca="1" si="76"/>
        <v>8</v>
      </c>
      <c r="Q145" s="304">
        <f t="shared" ca="1" si="77"/>
        <v>1928.8759236641224</v>
      </c>
      <c r="R145" s="306">
        <f t="shared" ca="1" si="78"/>
        <v>1.1599760934776009</v>
      </c>
      <c r="S145" s="307">
        <f t="shared" ca="1" si="79"/>
        <v>22.147600642136407</v>
      </c>
      <c r="T145" s="304">
        <f t="shared" ca="1" si="59"/>
        <v>217.26796229935817</v>
      </c>
      <c r="U145" s="311">
        <f t="shared" ca="1" si="60"/>
        <v>0</v>
      </c>
      <c r="V145" s="306">
        <f t="shared" ca="1" si="61"/>
        <v>1.2174609361956965</v>
      </c>
      <c r="W145" s="304">
        <f t="shared" ca="1" si="62"/>
        <v>65.756922385689606</v>
      </c>
      <c r="Y145" s="314" t="str">
        <f t="shared" ca="1" si="80"/>
        <v/>
      </c>
      <c r="Z145" s="315" t="str">
        <f t="shared" ca="1" si="81"/>
        <v/>
      </c>
      <c r="AA145" s="316" t="str">
        <f t="shared" ca="1" si="82"/>
        <v/>
      </c>
      <c r="AC145" s="310" t="e">
        <f t="shared" ca="1" si="83"/>
        <v>#N/A</v>
      </c>
      <c r="AD145" s="323" t="e">
        <f t="shared" ca="1" si="84"/>
        <v>#N/A</v>
      </c>
      <c r="AE145" s="324">
        <f t="shared" ca="1" si="63"/>
        <v>61.733341914129397</v>
      </c>
      <c r="AG145" s="306">
        <f t="shared" ca="1" si="85"/>
        <v>74.846951595371451</v>
      </c>
      <c r="AH145" s="304">
        <f t="shared" ca="1" si="86"/>
        <v>84.168564677738075</v>
      </c>
    </row>
    <row r="146" spans="1:34" x14ac:dyDescent="0.2">
      <c r="A146" s="347">
        <f t="shared" ca="1" si="64"/>
        <v>0.01</v>
      </c>
      <c r="B146" s="304">
        <f t="shared" ca="1" si="65"/>
        <v>1.420000000000001</v>
      </c>
      <c r="D146" s="306">
        <f t="shared" ca="1" si="66"/>
        <v>26.273404518675068</v>
      </c>
      <c r="E146" s="307">
        <f t="shared" ca="1" si="67"/>
        <v>70.225749909574432</v>
      </c>
      <c r="F146" s="304">
        <f t="shared" ca="1" si="68"/>
        <v>74.97964880795341</v>
      </c>
      <c r="G146" s="306">
        <f t="shared" ca="1" si="69"/>
        <v>30.284694082332706</v>
      </c>
      <c r="H146" s="307">
        <f t="shared" ca="1" si="70"/>
        <v>92.157100498994282</v>
      </c>
      <c r="I146" s="304">
        <f t="shared" ca="1" si="71"/>
        <v>97.005638331192941</v>
      </c>
      <c r="J146" s="306">
        <f t="shared" ca="1" si="72"/>
        <v>19.253430079540028</v>
      </c>
      <c r="K146" s="307">
        <f t="shared" ca="1" si="73"/>
        <v>62.651401631623862</v>
      </c>
      <c r="L146" s="304">
        <f t="shared" ca="1" si="58"/>
        <v>65.543059863228677</v>
      </c>
      <c r="M146" s="306">
        <f t="shared" ca="1" si="74"/>
        <v>1.2532934820892208</v>
      </c>
      <c r="N146" s="304">
        <f t="shared" ca="1" si="75"/>
        <v>71.80842701496718</v>
      </c>
      <c r="P146" s="310">
        <f t="shared" ca="1" si="76"/>
        <v>8</v>
      </c>
      <c r="Q146" s="304">
        <f t="shared" ca="1" si="77"/>
        <v>1930.4449440203566</v>
      </c>
      <c r="R146" s="306">
        <f t="shared" ca="1" si="78"/>
        <v>1.1609196617398632</v>
      </c>
      <c r="S146" s="307">
        <f t="shared" ca="1" si="79"/>
        <v>22.135991445519007</v>
      </c>
      <c r="T146" s="304">
        <f t="shared" ca="1" si="59"/>
        <v>217.15407608054147</v>
      </c>
      <c r="U146" s="311">
        <f t="shared" ca="1" si="60"/>
        <v>0</v>
      </c>
      <c r="V146" s="306">
        <f t="shared" ca="1" si="61"/>
        <v>1.2173491700610919</v>
      </c>
      <c r="W146" s="304">
        <f t="shared" ca="1" si="62"/>
        <v>66.778364403001305</v>
      </c>
      <c r="Y146" s="314" t="str">
        <f t="shared" ca="1" si="80"/>
        <v/>
      </c>
      <c r="Z146" s="315" t="str">
        <f t="shared" ca="1" si="81"/>
        <v/>
      </c>
      <c r="AA146" s="316" t="str">
        <f t="shared" ca="1" si="82"/>
        <v/>
      </c>
      <c r="AC146" s="310" t="e">
        <f t="shared" ca="1" si="83"/>
        <v>#N/A</v>
      </c>
      <c r="AD146" s="323" t="e">
        <f t="shared" ca="1" si="84"/>
        <v>#N/A</v>
      </c>
      <c r="AE146" s="324">
        <f t="shared" ca="1" si="63"/>
        <v>62.651401631623862</v>
      </c>
      <c r="AG146" s="306">
        <f t="shared" ca="1" si="85"/>
        <v>74.917194294724581</v>
      </c>
      <c r="AH146" s="304">
        <f t="shared" ca="1" si="86"/>
        <v>84.237836205531067</v>
      </c>
    </row>
    <row r="147" spans="1:34" x14ac:dyDescent="0.2">
      <c r="A147" s="347">
        <f t="shared" ca="1" si="64"/>
        <v>0.01</v>
      </c>
      <c r="B147" s="304">
        <f t="shared" ca="1" si="65"/>
        <v>1.430000000000001</v>
      </c>
      <c r="D147" s="306">
        <f t="shared" ca="1" si="66"/>
        <v>26.320185208900284</v>
      </c>
      <c r="E147" s="307">
        <f t="shared" ca="1" si="67"/>
        <v>70.282998359319478</v>
      </c>
      <c r="F147" s="304">
        <f t="shared" ca="1" si="68"/>
        <v>75.049663608885794</v>
      </c>
      <c r="G147" s="306">
        <f t="shared" ca="1" si="69"/>
        <v>30.54789593442171</v>
      </c>
      <c r="H147" s="307">
        <f t="shared" ca="1" si="70"/>
        <v>92.859930482587473</v>
      </c>
      <c r="I147" s="304">
        <f t="shared" ca="1" si="71"/>
        <v>97.755514602764165</v>
      </c>
      <c r="J147" s="306">
        <f t="shared" ca="1" si="72"/>
        <v>19.557593029623799</v>
      </c>
      <c r="K147" s="307">
        <f t="shared" ca="1" si="73"/>
        <v>63.576486786531774</v>
      </c>
      <c r="L147" s="304">
        <f t="shared" ca="1" si="58"/>
        <v>66.516682999308074</v>
      </c>
      <c r="M147" s="306">
        <f t="shared" ca="1" si="74"/>
        <v>1.2529801867302699</v>
      </c>
      <c r="N147" s="304">
        <f t="shared" ca="1" si="75"/>
        <v>71.790476513158268</v>
      </c>
      <c r="P147" s="310">
        <f t="shared" ca="1" si="76"/>
        <v>8</v>
      </c>
      <c r="Q147" s="304">
        <f t="shared" ca="1" si="77"/>
        <v>1932.0139643765906</v>
      </c>
      <c r="R147" s="306">
        <f t="shared" ca="1" si="78"/>
        <v>1.1618632300021254</v>
      </c>
      <c r="S147" s="307">
        <f t="shared" ca="1" si="79"/>
        <v>22.124372813218987</v>
      </c>
      <c r="T147" s="304">
        <f t="shared" ca="1" si="59"/>
        <v>217.04009729767827</v>
      </c>
      <c r="U147" s="311">
        <f t="shared" ca="1" si="60"/>
        <v>0</v>
      </c>
      <c r="V147" s="306">
        <f t="shared" ca="1" si="61"/>
        <v>1.2172365589839087</v>
      </c>
      <c r="W147" s="304">
        <f t="shared" ca="1" si="62"/>
        <v>67.808506377850463</v>
      </c>
      <c r="Y147" s="314" t="str">
        <f t="shared" ca="1" si="80"/>
        <v/>
      </c>
      <c r="Z147" s="315" t="str">
        <f t="shared" ca="1" si="81"/>
        <v/>
      </c>
      <c r="AA147" s="316" t="str">
        <f t="shared" ca="1" si="82"/>
        <v/>
      </c>
      <c r="AC147" s="310" t="e">
        <f t="shared" ca="1" si="83"/>
        <v>#N/A</v>
      </c>
      <c r="AD147" s="323" t="e">
        <f t="shared" ca="1" si="84"/>
        <v>#N/A</v>
      </c>
      <c r="AE147" s="324">
        <f t="shared" ca="1" si="63"/>
        <v>63.576486786531774</v>
      </c>
      <c r="AG147" s="306">
        <f t="shared" ca="1" si="85"/>
        <v>74.987147402474946</v>
      </c>
      <c r="AH147" s="304">
        <f t="shared" ca="1" si="86"/>
        <v>84.306823778486446</v>
      </c>
    </row>
    <row r="148" spans="1:34" x14ac:dyDescent="0.2">
      <c r="A148" s="347">
        <f t="shared" ca="1" si="64"/>
        <v>0.01</v>
      </c>
      <c r="B148" s="304">
        <f t="shared" ca="1" si="65"/>
        <v>1.4400000000000011</v>
      </c>
      <c r="D148" s="306">
        <f t="shared" ca="1" si="66"/>
        <v>26.366745761654091</v>
      </c>
      <c r="E148" s="307">
        <f t="shared" ca="1" si="67"/>
        <v>70.340010453595809</v>
      </c>
      <c r="F148" s="304">
        <f t="shared" ca="1" si="68"/>
        <v>75.119387328915778</v>
      </c>
      <c r="G148" s="306">
        <f t="shared" ca="1" si="69"/>
        <v>30.811563392038252</v>
      </c>
      <c r="H148" s="307">
        <f t="shared" ca="1" si="70"/>
        <v>93.563330587123431</v>
      </c>
      <c r="I148" s="304">
        <f t="shared" ca="1" si="71"/>
        <v>98.506087472891437</v>
      </c>
      <c r="J148" s="306">
        <f t="shared" ca="1" si="72"/>
        <v>19.8643903262561</v>
      </c>
      <c r="K148" s="307">
        <f t="shared" ca="1" si="73"/>
        <v>64.508603091880332</v>
      </c>
      <c r="L148" s="304">
        <f t="shared" ca="1" si="58"/>
        <v>67.497806452503397</v>
      </c>
      <c r="M148" s="306">
        <f t="shared" ca="1" si="74"/>
        <v>1.2526689821496477</v>
      </c>
      <c r="N148" s="304">
        <f t="shared" ca="1" si="75"/>
        <v>71.772645804123471</v>
      </c>
      <c r="P148" s="310">
        <f t="shared" ca="1" si="76"/>
        <v>8</v>
      </c>
      <c r="Q148" s="304">
        <f t="shared" ca="1" si="77"/>
        <v>1933.5829847328248</v>
      </c>
      <c r="R148" s="306">
        <f t="shared" ca="1" si="78"/>
        <v>1.1628067982643877</v>
      </c>
      <c r="S148" s="307">
        <f t="shared" ca="1" si="79"/>
        <v>22.112744745236341</v>
      </c>
      <c r="T148" s="304">
        <f t="shared" ca="1" si="59"/>
        <v>216.92602595076852</v>
      </c>
      <c r="U148" s="311">
        <f t="shared" ca="1" si="60"/>
        <v>0</v>
      </c>
      <c r="V148" s="306">
        <f t="shared" ca="1" si="61"/>
        <v>1.2171231025039533</v>
      </c>
      <c r="W148" s="304">
        <f t="shared" ca="1" si="62"/>
        <v>68.847361915971533</v>
      </c>
      <c r="Y148" s="314" t="str">
        <f t="shared" ca="1" si="80"/>
        <v/>
      </c>
      <c r="Z148" s="315" t="str">
        <f t="shared" ca="1" si="81"/>
        <v/>
      </c>
      <c r="AA148" s="316" t="str">
        <f t="shared" ca="1" si="82"/>
        <v/>
      </c>
      <c r="AC148" s="310" t="e">
        <f t="shared" ca="1" si="83"/>
        <v>#N/A</v>
      </c>
      <c r="AD148" s="323" t="e">
        <f t="shared" ca="1" si="84"/>
        <v>#N/A</v>
      </c>
      <c r="AE148" s="324">
        <f t="shared" ca="1" si="63"/>
        <v>64.508603091880332</v>
      </c>
      <c r="AG148" s="306">
        <f t="shared" ca="1" si="85"/>
        <v>75.056810005420161</v>
      </c>
      <c r="AH148" s="304">
        <f t="shared" ca="1" si="86"/>
        <v>84.375526414779898</v>
      </c>
    </row>
    <row r="149" spans="1:34" x14ac:dyDescent="0.2">
      <c r="A149" s="347">
        <f t="shared" ca="1" si="64"/>
        <v>0.01</v>
      </c>
      <c r="B149" s="304">
        <f t="shared" ca="1" si="65"/>
        <v>1.4500000000000011</v>
      </c>
      <c r="D149" s="306">
        <f t="shared" ca="1" si="66"/>
        <v>26.41308749326717</v>
      </c>
      <c r="E149" s="307">
        <f t="shared" ca="1" si="67"/>
        <v>70.396784885110961</v>
      </c>
      <c r="F149" s="304">
        <f t="shared" ca="1" si="68"/>
        <v>75.188819069643415</v>
      </c>
      <c r="G149" s="306">
        <f t="shared" ca="1" si="69"/>
        <v>31.075694266970924</v>
      </c>
      <c r="H149" s="307">
        <f t="shared" ca="1" si="70"/>
        <v>94.267298435974539</v>
      </c>
      <c r="I149" s="304">
        <f t="shared" ca="1" si="71"/>
        <v>99.257354027756236</v>
      </c>
      <c r="J149" s="306">
        <f t="shared" ca="1" si="72"/>
        <v>20.173826614551146</v>
      </c>
      <c r="K149" s="307">
        <f t="shared" ca="1" si="73"/>
        <v>65.447756236995815</v>
      </c>
      <c r="L149" s="304">
        <f t="shared" ca="1" si="58"/>
        <v>68.486437173583482</v>
      </c>
      <c r="M149" s="306">
        <f t="shared" ca="1" si="74"/>
        <v>1.2523598408802414</v>
      </c>
      <c r="N149" s="304">
        <f t="shared" ca="1" si="75"/>
        <v>71.754933314113174</v>
      </c>
      <c r="P149" s="310">
        <f t="shared" ca="1" si="76"/>
        <v>8</v>
      </c>
      <c r="Q149" s="304">
        <f t="shared" ca="1" si="77"/>
        <v>1935.1520050890588</v>
      </c>
      <c r="R149" s="306">
        <f t="shared" ca="1" si="78"/>
        <v>1.1637503665266498</v>
      </c>
      <c r="S149" s="307">
        <f t="shared" ca="1" si="79"/>
        <v>22.101107241571075</v>
      </c>
      <c r="T149" s="304">
        <f t="shared" ca="1" si="59"/>
        <v>216.81186203981227</v>
      </c>
      <c r="U149" s="311">
        <f t="shared" ca="1" si="60"/>
        <v>0</v>
      </c>
      <c r="V149" s="306">
        <f t="shared" ca="1" si="61"/>
        <v>1.217008800165907</v>
      </c>
      <c r="W149" s="304">
        <f t="shared" ca="1" si="62"/>
        <v>69.894944461854479</v>
      </c>
      <c r="Y149" s="314" t="str">
        <f t="shared" ca="1" si="80"/>
        <v/>
      </c>
      <c r="Z149" s="315" t="str">
        <f t="shared" ca="1" si="81"/>
        <v/>
      </c>
      <c r="AA149" s="316" t="str">
        <f t="shared" ca="1" si="82"/>
        <v/>
      </c>
      <c r="AC149" s="310" t="e">
        <f t="shared" ca="1" si="83"/>
        <v>#N/A</v>
      </c>
      <c r="AD149" s="323" t="e">
        <f t="shared" ca="1" si="84"/>
        <v>#N/A</v>
      </c>
      <c r="AE149" s="324">
        <f t="shared" ca="1" si="63"/>
        <v>65.447756236995815</v>
      </c>
      <c r="AG149" s="306">
        <f t="shared" ca="1" si="85"/>
        <v>75.126181193533526</v>
      </c>
      <c r="AH149" s="304">
        <f t="shared" ca="1" si="86"/>
        <v>84.443943137050695</v>
      </c>
    </row>
    <row r="150" spans="1:34" x14ac:dyDescent="0.2">
      <c r="A150" s="347">
        <f t="shared" ca="1" si="64"/>
        <v>0.01</v>
      </c>
      <c r="B150" s="304">
        <f t="shared" ca="1" si="65"/>
        <v>1.4600000000000011</v>
      </c>
      <c r="D150" s="306">
        <f t="shared" ca="1" si="66"/>
        <v>26.459211685466311</v>
      </c>
      <c r="E150" s="307">
        <f t="shared" ca="1" si="67"/>
        <v>70.453320359201115</v>
      </c>
      <c r="F150" s="304">
        <f t="shared" ca="1" si="68"/>
        <v>75.257957935706301</v>
      </c>
      <c r="G150" s="306">
        <f t="shared" ca="1" si="69"/>
        <v>31.340286383825585</v>
      </c>
      <c r="H150" s="307">
        <f t="shared" ca="1" si="70"/>
        <v>94.971831639566545</v>
      </c>
      <c r="I150" s="304">
        <f t="shared" ca="1" si="71"/>
        <v>100.0093113444662</v>
      </c>
      <c r="J150" s="306">
        <f t="shared" ca="1" si="72"/>
        <v>20.48590651780513</v>
      </c>
      <c r="K150" s="307">
        <f t="shared" ca="1" si="73"/>
        <v>66.393951887373518</v>
      </c>
      <c r="L150" s="304">
        <f t="shared" ca="1" si="58"/>
        <v>69.48258208413904</v>
      </c>
      <c r="M150" s="306">
        <f t="shared" ca="1" si="74"/>
        <v>1.2520527359958658</v>
      </c>
      <c r="N150" s="304">
        <f t="shared" ca="1" si="75"/>
        <v>71.7373375003706</v>
      </c>
      <c r="P150" s="310">
        <f t="shared" ca="1" si="76"/>
        <v>8</v>
      </c>
      <c r="Q150" s="304">
        <f t="shared" ca="1" si="77"/>
        <v>1936.721025445293</v>
      </c>
      <c r="R150" s="306">
        <f t="shared" ca="1" si="78"/>
        <v>1.1646939347889123</v>
      </c>
      <c r="S150" s="307">
        <f t="shared" ca="1" si="79"/>
        <v>22.089460302223184</v>
      </c>
      <c r="T150" s="304">
        <f t="shared" ca="1" si="59"/>
        <v>216.69760556480944</v>
      </c>
      <c r="U150" s="311">
        <f t="shared" ca="1" si="60"/>
        <v>0</v>
      </c>
      <c r="V150" s="306">
        <f t="shared" ca="1" si="61"/>
        <v>1.2168936515193471</v>
      </c>
      <c r="W150" s="304">
        <f t="shared" ca="1" si="62"/>
        <v>70.951267297935502</v>
      </c>
      <c r="Y150" s="314" t="str">
        <f t="shared" ca="1" si="80"/>
        <v/>
      </c>
      <c r="Z150" s="315" t="str">
        <f t="shared" ca="1" si="81"/>
        <v/>
      </c>
      <c r="AA150" s="316" t="str">
        <f t="shared" ca="1" si="82"/>
        <v/>
      </c>
      <c r="AC150" s="310" t="e">
        <f t="shared" ca="1" si="83"/>
        <v>#N/A</v>
      </c>
      <c r="AD150" s="323" t="e">
        <f t="shared" ca="1" si="84"/>
        <v>#N/A</v>
      </c>
      <c r="AE150" s="324">
        <f t="shared" ca="1" si="63"/>
        <v>66.393951887373518</v>
      </c>
      <c r="AG150" s="306">
        <f t="shared" ca="1" si="85"/>
        <v>75.195260060041605</v>
      </c>
      <c r="AH150" s="304">
        <f t="shared" ca="1" si="86"/>
        <v>84.512072972446163</v>
      </c>
    </row>
    <row r="151" spans="1:34" x14ac:dyDescent="0.2">
      <c r="A151" s="347">
        <f t="shared" ca="1" si="64"/>
        <v>0.01</v>
      </c>
      <c r="B151" s="304">
        <f t="shared" ca="1" si="65"/>
        <v>1.4700000000000011</v>
      </c>
      <c r="D151" s="306">
        <f t="shared" ca="1" si="66"/>
        <v>26.50511958637578</v>
      </c>
      <c r="E151" s="307">
        <f t="shared" ca="1" si="67"/>
        <v>70.509615593652654</v>
      </c>
      <c r="F151" s="304">
        <f t="shared" ca="1" si="68"/>
        <v>75.326803034861015</v>
      </c>
      <c r="G151" s="306">
        <f t="shared" ca="1" si="69"/>
        <v>31.605337579689344</v>
      </c>
      <c r="H151" s="307">
        <f t="shared" ca="1" si="70"/>
        <v>95.676927795503076</v>
      </c>
      <c r="I151" s="304">
        <f t="shared" ca="1" si="71"/>
        <v>100.7619564910886</v>
      </c>
      <c r="J151" s="306">
        <f t="shared" ca="1" si="72"/>
        <v>20.800634637622704</v>
      </c>
      <c r="K151" s="307">
        <f t="shared" ca="1" si="73"/>
        <v>67.347195684548865</v>
      </c>
      <c r="L151" s="304">
        <f t="shared" ca="1" si="58"/>
        <v>70.486248076492103</v>
      </c>
      <c r="M151" s="306">
        <f t="shared" ca="1" si="74"/>
        <v>1.2517476410969539</v>
      </c>
      <c r="N151" s="304">
        <f t="shared" ca="1" si="75"/>
        <v>71.71985685031197</v>
      </c>
      <c r="P151" s="310">
        <f t="shared" ca="1" si="76"/>
        <v>8</v>
      </c>
      <c r="Q151" s="304">
        <f t="shared" ca="1" si="77"/>
        <v>1938.290045801527</v>
      </c>
      <c r="R151" s="306">
        <f t="shared" ca="1" si="78"/>
        <v>1.1656375030511743</v>
      </c>
      <c r="S151" s="307">
        <f t="shared" ca="1" si="79"/>
        <v>22.077803927192672</v>
      </c>
      <c r="T151" s="304">
        <f t="shared" ca="1" si="59"/>
        <v>216.58325652576013</v>
      </c>
      <c r="U151" s="311">
        <f t="shared" ca="1" si="60"/>
        <v>0</v>
      </c>
      <c r="V151" s="306">
        <f t="shared" ca="1" si="61"/>
        <v>1.2167776561187604</v>
      </c>
      <c r="W151" s="304">
        <f t="shared" ca="1" si="62"/>
        <v>72.01634354379226</v>
      </c>
      <c r="Y151" s="314" t="str">
        <f t="shared" ca="1" si="80"/>
        <v/>
      </c>
      <c r="Z151" s="315" t="str">
        <f t="shared" ca="1" si="81"/>
        <v/>
      </c>
      <c r="AA151" s="316" t="str">
        <f t="shared" ca="1" si="82"/>
        <v/>
      </c>
      <c r="AC151" s="310" t="e">
        <f t="shared" ca="1" si="83"/>
        <v>#N/A</v>
      </c>
      <c r="AD151" s="323" t="e">
        <f t="shared" ca="1" si="84"/>
        <v>#N/A</v>
      </c>
      <c r="AE151" s="324">
        <f t="shared" ca="1" si="63"/>
        <v>67.347195684548865</v>
      </c>
      <c r="AG151" s="306">
        <f t="shared" ca="1" si="85"/>
        <v>75.264045701500507</v>
      </c>
      <c r="AH151" s="304">
        <f t="shared" ca="1" si="86"/>
        <v>84.579914952665987</v>
      </c>
    </row>
    <row r="152" spans="1:34" x14ac:dyDescent="0.2">
      <c r="A152" s="347">
        <f t="shared" ca="1" si="64"/>
        <v>0.01</v>
      </c>
      <c r="B152" s="304">
        <f t="shared" ca="1" si="65"/>
        <v>1.4800000000000011</v>
      </c>
      <c r="D152" s="306">
        <f t="shared" ca="1" si="66"/>
        <v>26.550812411485634</v>
      </c>
      <c r="E152" s="307">
        <f t="shared" ca="1" si="67"/>
        <v>70.565669318531178</v>
      </c>
      <c r="F152" s="304">
        <f t="shared" ca="1" si="68"/>
        <v>75.395353478063839</v>
      </c>
      <c r="G152" s="306">
        <f t="shared" ca="1" si="69"/>
        <v>31.8708457038042</v>
      </c>
      <c r="H152" s="307">
        <f t="shared" ca="1" si="70"/>
        <v>96.382584488688394</v>
      </c>
      <c r="I152" s="304">
        <f t="shared" ca="1" si="71"/>
        <v>101.51528652668449</v>
      </c>
      <c r="J152" s="306">
        <f t="shared" ca="1" si="72"/>
        <v>21.11801555404017</v>
      </c>
      <c r="K152" s="307">
        <f t="shared" ca="1" si="73"/>
        <v>68.307493245969823</v>
      </c>
      <c r="L152" s="304">
        <f t="shared" ca="1" si="58"/>
        <v>71.497442013605593</v>
      </c>
      <c r="M152" s="306">
        <f t="shared" ca="1" si="74"/>
        <v>1.2514445302967236</v>
      </c>
      <c r="N152" s="304">
        <f t="shared" ca="1" si="75"/>
        <v>71.70248988073395</v>
      </c>
      <c r="P152" s="310">
        <f t="shared" ca="1" si="76"/>
        <v>8</v>
      </c>
      <c r="Q152" s="304">
        <f t="shared" ca="1" si="77"/>
        <v>1939.8590661577612</v>
      </c>
      <c r="R152" s="306">
        <f t="shared" ca="1" si="78"/>
        <v>1.1665810713134366</v>
      </c>
      <c r="S152" s="307">
        <f t="shared" ca="1" si="79"/>
        <v>22.066138116479539</v>
      </c>
      <c r="T152" s="304">
        <f t="shared" ca="1" si="59"/>
        <v>216.46881492266428</v>
      </c>
      <c r="U152" s="311">
        <f t="shared" ca="1" si="60"/>
        <v>0</v>
      </c>
      <c r="V152" s="306">
        <f t="shared" ca="1" si="61"/>
        <v>1.2166608135235646</v>
      </c>
      <c r="W152" s="304">
        <f t="shared" ca="1" si="62"/>
        <v>73.090186155345037</v>
      </c>
      <c r="Y152" s="314" t="str">
        <f t="shared" ca="1" si="80"/>
        <v/>
      </c>
      <c r="Z152" s="315" t="str">
        <f t="shared" ca="1" si="81"/>
        <v/>
      </c>
      <c r="AA152" s="316" t="str">
        <f t="shared" ca="1" si="82"/>
        <v/>
      </c>
      <c r="AC152" s="310" t="e">
        <f t="shared" ca="1" si="83"/>
        <v>#N/A</v>
      </c>
      <c r="AD152" s="323" t="e">
        <f t="shared" ca="1" si="84"/>
        <v>#N/A</v>
      </c>
      <c r="AE152" s="324">
        <f t="shared" ca="1" si="63"/>
        <v>68.307493245969823</v>
      </c>
      <c r="AG152" s="306">
        <f t="shared" ca="1" si="85"/>
        <v>75.332537217871334</v>
      </c>
      <c r="AH152" s="304">
        <f t="shared" ca="1" si="86"/>
        <v>84.647468114006656</v>
      </c>
    </row>
    <row r="153" spans="1:34" x14ac:dyDescent="0.2">
      <c r="A153" s="347">
        <f t="shared" ca="1" si="64"/>
        <v>0.01</v>
      </c>
      <c r="B153" s="304">
        <f t="shared" ca="1" si="65"/>
        <v>1.4900000000000011</v>
      </c>
      <c r="D153" s="306">
        <f t="shared" ca="1" si="66"/>
        <v>26.596291344587875</v>
      </c>
      <c r="E153" s="307">
        <f t="shared" ca="1" si="67"/>
        <v>70.621480276017138</v>
      </c>
      <c r="F153" s="304">
        <f t="shared" ca="1" si="68"/>
        <v>75.463608379549925</v>
      </c>
      <c r="G153" s="306">
        <f t="shared" ca="1" si="69"/>
        <v>32.136808617250075</v>
      </c>
      <c r="H153" s="307">
        <f t="shared" ca="1" si="70"/>
        <v>97.088799291448566</v>
      </c>
      <c r="I153" s="304">
        <f t="shared" ca="1" si="71"/>
        <v>102.26929850134371</v>
      </c>
      <c r="J153" s="306">
        <f t="shared" ca="1" si="72"/>
        <v>21.43805382564544</v>
      </c>
      <c r="K153" s="307">
        <f t="shared" ca="1" si="73"/>
        <v>69.274850164870514</v>
      </c>
      <c r="L153" s="304">
        <f t="shared" ca="1" si="58"/>
        <v>72.516170728993487</v>
      </c>
      <c r="M153" s="306">
        <f t="shared" ca="1" si="74"/>
        <v>1.2511433782077974</v>
      </c>
      <c r="N153" s="304">
        <f t="shared" ca="1" si="75"/>
        <v>71.685235137046931</v>
      </c>
      <c r="P153" s="310">
        <f t="shared" ca="1" si="76"/>
        <v>8</v>
      </c>
      <c r="Q153" s="304">
        <f t="shared" ca="1" si="77"/>
        <v>1941.4280865139951</v>
      </c>
      <c r="R153" s="306">
        <f t="shared" ca="1" si="78"/>
        <v>1.1675246395756989</v>
      </c>
      <c r="S153" s="307">
        <f t="shared" ca="1" si="79"/>
        <v>22.054462870083782</v>
      </c>
      <c r="T153" s="304">
        <f t="shared" ca="1" si="59"/>
        <v>216.3542807555219</v>
      </c>
      <c r="U153" s="311">
        <f t="shared" ca="1" si="60"/>
        <v>0</v>
      </c>
      <c r="V153" s="306">
        <f t="shared" ca="1" si="61"/>
        <v>1.2165431232981225</v>
      </c>
      <c r="W153" s="304">
        <f t="shared" ca="1" si="62"/>
        <v>74.172807924062795</v>
      </c>
      <c r="Y153" s="314" t="str">
        <f t="shared" ca="1" si="80"/>
        <v/>
      </c>
      <c r="Z153" s="315" t="str">
        <f t="shared" ca="1" si="81"/>
        <v/>
      </c>
      <c r="AA153" s="316" t="str">
        <f t="shared" ca="1" si="82"/>
        <v/>
      </c>
      <c r="AC153" s="310" t="e">
        <f t="shared" ca="1" si="83"/>
        <v>#N/A</v>
      </c>
      <c r="AD153" s="323" t="e">
        <f t="shared" ca="1" si="84"/>
        <v>#N/A</v>
      </c>
      <c r="AE153" s="324">
        <f t="shared" ca="1" si="63"/>
        <v>69.274850164870514</v>
      </c>
      <c r="AG153" s="306">
        <f t="shared" ca="1" si="85"/>
        <v>75.40073371259426</v>
      </c>
      <c r="AH153" s="304">
        <f t="shared" ca="1" si="86"/>
        <v>84.714731497405651</v>
      </c>
    </row>
    <row r="154" spans="1:34" x14ac:dyDescent="0.2">
      <c r="A154" s="347">
        <f t="shared" ca="1" si="64"/>
        <v>0.01</v>
      </c>
      <c r="B154" s="304">
        <f t="shared" ca="1" si="65"/>
        <v>1.5000000000000011</v>
      </c>
      <c r="D154" s="306">
        <f t="shared" ca="1" si="66"/>
        <v>26.641557538682061</v>
      </c>
      <c r="E154" s="307">
        <f t="shared" ca="1" si="67"/>
        <v>70.677047220248042</v>
      </c>
      <c r="F154" s="304">
        <f t="shared" ca="1" si="68"/>
        <v>75.531566856911411</v>
      </c>
      <c r="G154" s="306">
        <f t="shared" ca="1" si="69"/>
        <v>32.403224192636898</v>
      </c>
      <c r="H154" s="307">
        <f t="shared" ca="1" si="70"/>
        <v>97.795569763651045</v>
      </c>
      <c r="I154" s="304">
        <f t="shared" ca="1" si="71"/>
        <v>103.02398945622048</v>
      </c>
      <c r="J154" s="306">
        <f t="shared" ca="1" si="72"/>
        <v>21.760753989694877</v>
      </c>
      <c r="K154" s="307">
        <f t="shared" ca="1" si="73"/>
        <v>70.249272010146015</v>
      </c>
      <c r="L154" s="304">
        <f t="shared" ca="1" si="58"/>
        <v>73.542441026631053</v>
      </c>
      <c r="M154" s="306">
        <f t="shared" ca="1" si="74"/>
        <v>1.2508441599292612</v>
      </c>
      <c r="N154" s="304">
        <f t="shared" ca="1" si="75"/>
        <v>71.668091192533637</v>
      </c>
      <c r="P154" s="310">
        <f t="shared" ca="1" si="76"/>
        <v>8</v>
      </c>
      <c r="Q154" s="304">
        <f t="shared" ca="1" si="77"/>
        <v>1942.9971068702293</v>
      </c>
      <c r="R154" s="306">
        <f t="shared" ca="1" si="78"/>
        <v>1.1684682078379611</v>
      </c>
      <c r="S154" s="307">
        <f t="shared" ca="1" si="79"/>
        <v>22.042778188005403</v>
      </c>
      <c r="T154" s="304">
        <f t="shared" ca="1" si="59"/>
        <v>216.23965402433302</v>
      </c>
      <c r="U154" s="311">
        <f t="shared" ca="1" si="60"/>
        <v>0</v>
      </c>
      <c r="V154" s="306">
        <f t="shared" ca="1" si="61"/>
        <v>1.2164245850117623</v>
      </c>
      <c r="W154" s="304">
        <f t="shared" ca="1" si="62"/>
        <v>75.26422147617474</v>
      </c>
      <c r="Y154" s="314" t="str">
        <f t="shared" ca="1" si="80"/>
        <v/>
      </c>
      <c r="Z154" s="315" t="str">
        <f t="shared" ca="1" si="81"/>
        <v/>
      </c>
      <c r="AA154" s="316" t="str">
        <f t="shared" ca="1" si="82"/>
        <v/>
      </c>
      <c r="AC154" s="310" t="e">
        <f t="shared" ca="1" si="83"/>
        <v>#N/A</v>
      </c>
      <c r="AD154" s="323" t="e">
        <f t="shared" ca="1" si="84"/>
        <v>#N/A</v>
      </c>
      <c r="AE154" s="324">
        <f t="shared" ca="1" si="63"/>
        <v>70.249272010146015</v>
      </c>
      <c r="AG154" s="306">
        <f t="shared" ca="1" si="85"/>
        <v>75.468634292661832</v>
      </c>
      <c r="AH154" s="304">
        <f t="shared" ca="1" si="86"/>
        <v>84.78170414848563</v>
      </c>
    </row>
    <row r="155" spans="1:34" x14ac:dyDescent="0.2">
      <c r="A155" s="347">
        <f t="shared" ca="1" si="64"/>
        <v>0.01</v>
      </c>
      <c r="B155" s="304">
        <f t="shared" ca="1" si="65"/>
        <v>1.5100000000000011</v>
      </c>
      <c r="D155" s="306">
        <f t="shared" ca="1" si="66"/>
        <v>26.686612116851393</v>
      </c>
      <c r="E155" s="307">
        <f t="shared" ca="1" si="67"/>
        <v>70.732368917167108</v>
      </c>
      <c r="F155" s="304">
        <f t="shared" ca="1" si="68"/>
        <v>75.59922803117442</v>
      </c>
      <c r="G155" s="306">
        <f t="shared" ca="1" si="69"/>
        <v>32.67009031380541</v>
      </c>
      <c r="H155" s="307">
        <f t="shared" ca="1" si="70"/>
        <v>98.502893452822718</v>
      </c>
      <c r="I155" s="304">
        <f t="shared" ca="1" si="71"/>
        <v>103.77935642356984</v>
      </c>
      <c r="J155" s="306">
        <f t="shared" ca="1" si="72"/>
        <v>22.086120562227087</v>
      </c>
      <c r="K155" s="307">
        <f t="shared" ca="1" si="73"/>
        <v>71.230764326228382</v>
      </c>
      <c r="L155" s="304">
        <f t="shared" ca="1" si="58"/>
        <v>74.576259680865732</v>
      </c>
      <c r="M155" s="306">
        <f t="shared" ca="1" si="74"/>
        <v>1.250546851034142</v>
      </c>
      <c r="N155" s="304">
        <f t="shared" ca="1" si="75"/>
        <v>71.651056647631606</v>
      </c>
      <c r="P155" s="310">
        <f t="shared" ca="1" si="76"/>
        <v>8</v>
      </c>
      <c r="Q155" s="304">
        <f t="shared" ca="1" si="77"/>
        <v>1944.5661272264633</v>
      </c>
      <c r="R155" s="306">
        <f t="shared" ca="1" si="78"/>
        <v>1.1694117761002234</v>
      </c>
      <c r="S155" s="307">
        <f t="shared" ca="1" si="79"/>
        <v>22.0310840702444</v>
      </c>
      <c r="T155" s="304">
        <f t="shared" ca="1" si="59"/>
        <v>216.12493472909759</v>
      </c>
      <c r="U155" s="311">
        <f t="shared" ca="1" si="60"/>
        <v>0</v>
      </c>
      <c r="V155" s="306">
        <f t="shared" ca="1" si="61"/>
        <v>1.2163051982387929</v>
      </c>
      <c r="W155" s="304">
        <f t="shared" ca="1" si="62"/>
        <v>76.364439271887292</v>
      </c>
      <c r="Y155" s="314" t="str">
        <f t="shared" ca="1" si="80"/>
        <v/>
      </c>
      <c r="Z155" s="315" t="str">
        <f t="shared" ca="1" si="81"/>
        <v/>
      </c>
      <c r="AA155" s="316" t="str">
        <f t="shared" ca="1" si="82"/>
        <v/>
      </c>
      <c r="AC155" s="310" t="e">
        <f t="shared" ca="1" si="83"/>
        <v>#N/A</v>
      </c>
      <c r="AD155" s="323" t="e">
        <f t="shared" ca="1" si="84"/>
        <v>#N/A</v>
      </c>
      <c r="AE155" s="324">
        <f t="shared" ca="1" si="63"/>
        <v>71.230764326228382</v>
      </c>
      <c r="AG155" s="306">
        <f t="shared" ca="1" si="85"/>
        <v>75.536238068691134</v>
      </c>
      <c r="AH155" s="304">
        <f t="shared" ca="1" si="86"/>
        <v>84.848385117598596</v>
      </c>
    </row>
    <row r="156" spans="1:34" x14ac:dyDescent="0.2">
      <c r="A156" s="347">
        <f t="shared" ca="1" si="64"/>
        <v>0.01</v>
      </c>
      <c r="B156" s="304">
        <f t="shared" ca="1" si="65"/>
        <v>1.5200000000000011</v>
      </c>
      <c r="D156" s="306">
        <f t="shared" ca="1" si="66"/>
        <v>26.731456173110548</v>
      </c>
      <c r="E156" s="307">
        <f t="shared" ca="1" si="67"/>
        <v>70.787444144377758</v>
      </c>
      <c r="F156" s="304">
        <f t="shared" ca="1" si="68"/>
        <v>75.666591026874812</v>
      </c>
      <c r="G156" s="306">
        <f t="shared" ca="1" si="69"/>
        <v>32.937404875536515</v>
      </c>
      <c r="H156" s="307">
        <f t="shared" ca="1" si="70"/>
        <v>99.210767894266496</v>
      </c>
      <c r="I156" s="304">
        <f t="shared" ca="1" si="71"/>
        <v>104.53539642678473</v>
      </c>
      <c r="J156" s="306">
        <f t="shared" ca="1" si="72"/>
        <v>22.414158038173795</v>
      </c>
      <c r="K156" s="307">
        <f t="shared" ca="1" si="73"/>
        <v>72.219332632963827</v>
      </c>
      <c r="L156" s="304">
        <f t="shared" ca="1" si="58"/>
        <v>75.617633436328234</v>
      </c>
      <c r="M156" s="306">
        <f t="shared" ca="1" si="74"/>
        <v>1.2502514275572894</v>
      </c>
      <c r="N156" s="304">
        <f t="shared" ca="1" si="75"/>
        <v>71.634130129238869</v>
      </c>
      <c r="P156" s="310">
        <f t="shared" ca="1" si="76"/>
        <v>8</v>
      </c>
      <c r="Q156" s="304">
        <f t="shared" ca="1" si="77"/>
        <v>1946.1351475826975</v>
      </c>
      <c r="R156" s="306">
        <f t="shared" ca="1" si="78"/>
        <v>1.1703553443624857</v>
      </c>
      <c r="S156" s="307">
        <f t="shared" ca="1" si="79"/>
        <v>22.019380516800776</v>
      </c>
      <c r="T156" s="304">
        <f t="shared" ca="1" si="59"/>
        <v>216.01012286981563</v>
      </c>
      <c r="U156" s="311">
        <f t="shared" ca="1" si="60"/>
        <v>0</v>
      </c>
      <c r="V156" s="306">
        <f t="shared" ca="1" si="61"/>
        <v>1.2161849625585197</v>
      </c>
      <c r="W156" s="304">
        <f t="shared" ca="1" si="62"/>
        <v>77.473473604606667</v>
      </c>
      <c r="Y156" s="314" t="str">
        <f t="shared" ca="1" si="80"/>
        <v/>
      </c>
      <c r="Z156" s="315" t="str">
        <f t="shared" ca="1" si="81"/>
        <v/>
      </c>
      <c r="AA156" s="316" t="str">
        <f t="shared" ca="1" si="82"/>
        <v/>
      </c>
      <c r="AC156" s="310" t="e">
        <f t="shared" ca="1" si="83"/>
        <v>#N/A</v>
      </c>
      <c r="AD156" s="323" t="e">
        <f t="shared" ca="1" si="84"/>
        <v>#N/A</v>
      </c>
      <c r="AE156" s="324">
        <f t="shared" ca="1" si="63"/>
        <v>72.219332632963827</v>
      </c>
      <c r="AG156" s="306">
        <f t="shared" ca="1" si="85"/>
        <v>75.603544154995078</v>
      </c>
      <c r="AH156" s="304">
        <f t="shared" ca="1" si="86"/>
        <v>84.914773459869878</v>
      </c>
    </row>
    <row r="157" spans="1:34" x14ac:dyDescent="0.2">
      <c r="A157" s="347">
        <f t="shared" ca="1" si="64"/>
        <v>0.01</v>
      </c>
      <c r="B157" s="304">
        <f t="shared" ca="1" si="65"/>
        <v>1.5300000000000011</v>
      </c>
      <c r="D157" s="306">
        <f t="shared" ca="1" si="66"/>
        <v>26.77609077322634</v>
      </c>
      <c r="E157" s="307">
        <f t="shared" ca="1" si="67"/>
        <v>70.842271691003972</v>
      </c>
      <c r="F157" s="304">
        <f t="shared" ca="1" si="68"/>
        <v>75.733654972132967</v>
      </c>
      <c r="G157" s="306">
        <f t="shared" ca="1" si="69"/>
        <v>33.205165783268775</v>
      </c>
      <c r="H157" s="307">
        <f t="shared" ca="1" si="70"/>
        <v>99.919190611176532</v>
      </c>
      <c r="I157" s="304">
        <f t="shared" ca="1" si="71"/>
        <v>105.29210648043372</v>
      </c>
      <c r="J157" s="306">
        <f t="shared" ca="1" si="72"/>
        <v>22.744870891467823</v>
      </c>
      <c r="K157" s="307">
        <f t="shared" ca="1" si="73"/>
        <v>73.214982425491044</v>
      </c>
      <c r="L157" s="304">
        <f t="shared" ca="1" si="58"/>
        <v>76.666569007843975</v>
      </c>
      <c r="M157" s="306">
        <f t="shared" ca="1" si="74"/>
        <v>1.2499578659836457</v>
      </c>
      <c r="N157" s="304">
        <f t="shared" ca="1" si="75"/>
        <v>71.617310290041871</v>
      </c>
      <c r="P157" s="310">
        <f t="shared" ca="1" si="76"/>
        <v>8</v>
      </c>
      <c r="Q157" s="304">
        <f t="shared" ca="1" si="77"/>
        <v>1947.7041679389317</v>
      </c>
      <c r="R157" s="306">
        <f t="shared" ca="1" si="78"/>
        <v>1.1712989126247479</v>
      </c>
      <c r="S157" s="307">
        <f t="shared" ca="1" si="79"/>
        <v>22.007667527674528</v>
      </c>
      <c r="T157" s="304">
        <f t="shared" ca="1" si="59"/>
        <v>215.89521844648712</v>
      </c>
      <c r="U157" s="311">
        <f t="shared" ca="1" si="60"/>
        <v>0</v>
      </c>
      <c r="V157" s="306">
        <f t="shared" ca="1" si="61"/>
        <v>1.2160638775552646</v>
      </c>
      <c r="W157" s="304">
        <f t="shared" ca="1" si="62"/>
        <v>78.591336600166912</v>
      </c>
      <c r="Y157" s="314" t="str">
        <f t="shared" ca="1" si="80"/>
        <v/>
      </c>
      <c r="Z157" s="315" t="str">
        <f t="shared" ca="1" si="81"/>
        <v/>
      </c>
      <c r="AA157" s="316" t="str">
        <f t="shared" ca="1" si="82"/>
        <v/>
      </c>
      <c r="AC157" s="310" t="e">
        <f t="shared" ca="1" si="83"/>
        <v>#N/A</v>
      </c>
      <c r="AD157" s="323" t="e">
        <f t="shared" ca="1" si="84"/>
        <v>#N/A</v>
      </c>
      <c r="AE157" s="324">
        <f t="shared" ca="1" si="63"/>
        <v>73.214982425491044</v>
      </c>
      <c r="AG157" s="306">
        <f t="shared" ca="1" si="85"/>
        <v>75.670551669652639</v>
      </c>
      <c r="AH157" s="304">
        <f t="shared" ca="1" si="86"/>
        <v>84.980868235242085</v>
      </c>
    </row>
    <row r="158" spans="1:34" x14ac:dyDescent="0.2">
      <c r="A158" s="347">
        <f t="shared" ca="1" si="64"/>
        <v>0.01</v>
      </c>
      <c r="B158" s="304">
        <f t="shared" ca="1" si="65"/>
        <v>1.5400000000000011</v>
      </c>
      <c r="D158" s="306">
        <f t="shared" ca="1" si="66"/>
        <v>26.8205169555123</v>
      </c>
      <c r="E158" s="307">
        <f t="shared" ca="1" si="67"/>
        <v>70.896850357556417</v>
      </c>
      <c r="F158" s="304">
        <f t="shared" ca="1" si="68"/>
        <v>75.800418998727636</v>
      </c>
      <c r="G158" s="306">
        <f t="shared" ca="1" si="69"/>
        <v>33.473370952823899</v>
      </c>
      <c r="H158" s="307">
        <f t="shared" ca="1" si="70"/>
        <v>100.62815911475209</v>
      </c>
      <c r="I158" s="304">
        <f t="shared" ca="1" si="71"/>
        <v>106.04948359029959</v>
      </c>
      <c r="J158" s="306">
        <f t="shared" ca="1" si="72"/>
        <v>23.078263575148288</v>
      </c>
      <c r="K158" s="307">
        <f t="shared" ca="1" si="73"/>
        <v>74.217719174120688</v>
      </c>
      <c r="L158" s="304">
        <f t="shared" ca="1" si="58"/>
        <v>77.72307308034506</v>
      </c>
      <c r="M158" s="306">
        <f t="shared" ca="1" si="74"/>
        <v>1.2496661432368892</v>
      </c>
      <c r="N158" s="304">
        <f t="shared" ca="1" si="75"/>
        <v>71.60059580786475</v>
      </c>
      <c r="P158" s="310">
        <f t="shared" ca="1" si="76"/>
        <v>8</v>
      </c>
      <c r="Q158" s="304">
        <f t="shared" ca="1" si="77"/>
        <v>1949.2731882951657</v>
      </c>
      <c r="R158" s="306">
        <f t="shared" ca="1" si="78"/>
        <v>1.1722424808870102</v>
      </c>
      <c r="S158" s="307">
        <f t="shared" ca="1" si="79"/>
        <v>21.995945102865658</v>
      </c>
      <c r="T158" s="304">
        <f t="shared" ca="1" si="59"/>
        <v>215.78022145911211</v>
      </c>
      <c r="U158" s="311">
        <f t="shared" ca="1" si="60"/>
        <v>0</v>
      </c>
      <c r="V158" s="306">
        <f t="shared" ca="1" si="61"/>
        <v>1.2159419428183786</v>
      </c>
      <c r="W158" s="304">
        <f t="shared" ca="1" si="62"/>
        <v>79.718040216063741</v>
      </c>
      <c r="Y158" s="314" t="str">
        <f t="shared" ca="1" si="80"/>
        <v/>
      </c>
      <c r="Z158" s="315" t="str">
        <f t="shared" ca="1" si="81"/>
        <v/>
      </c>
      <c r="AA158" s="316" t="str">
        <f t="shared" ca="1" si="82"/>
        <v/>
      </c>
      <c r="AC158" s="310" t="e">
        <f t="shared" ca="1" si="83"/>
        <v>#N/A</v>
      </c>
      <c r="AD158" s="323" t="e">
        <f t="shared" ca="1" si="84"/>
        <v>#N/A</v>
      </c>
      <c r="AE158" s="324">
        <f t="shared" ca="1" si="63"/>
        <v>74.217719174120688</v>
      </c>
      <c r="AG158" s="306">
        <f t="shared" ca="1" si="85"/>
        <v>75.737259734578416</v>
      </c>
      <c r="AH158" s="304">
        <f t="shared" ca="1" si="86"/>
        <v>85.046668508519062</v>
      </c>
    </row>
    <row r="159" spans="1:34" x14ac:dyDescent="0.2">
      <c r="A159" s="347">
        <f t="shared" ca="1" si="64"/>
        <v>0.01</v>
      </c>
      <c r="B159" s="304">
        <f t="shared" ca="1" si="65"/>
        <v>1.5500000000000012</v>
      </c>
      <c r="D159" s="306">
        <f t="shared" ca="1" si="66"/>
        <v>26.864735731598039</v>
      </c>
      <c r="E159" s="307">
        <f t="shared" ca="1" si="67"/>
        <v>70.951178955803712</v>
      </c>
      <c r="F159" s="304">
        <f t="shared" ca="1" si="68"/>
        <v>75.866882242168643</v>
      </c>
      <c r="G159" s="306">
        <f t="shared" ca="1" si="69"/>
        <v>33.742018310139876</v>
      </c>
      <c r="H159" s="307">
        <f t="shared" ca="1" si="70"/>
        <v>101.33767090431013</v>
      </c>
      <c r="I159" s="304">
        <f t="shared" ca="1" si="71"/>
        <v>106.80752475341838</v>
      </c>
      <c r="J159" s="306">
        <f t="shared" ca="1" si="72"/>
        <v>23.414340521463107</v>
      </c>
      <c r="K159" s="307">
        <f t="shared" ca="1" si="73"/>
        <v>75.227548324216002</v>
      </c>
      <c r="L159" s="304">
        <f t="shared" ca="1" si="58"/>
        <v>78.787152308782439</v>
      </c>
      <c r="M159" s="306">
        <f t="shared" ca="1" si="74"/>
        <v>1.2493762366684367</v>
      </c>
      <c r="N159" s="304">
        <f t="shared" ca="1" si="75"/>
        <v>71.583985385039298</v>
      </c>
      <c r="P159" s="310">
        <f t="shared" ca="1" si="76"/>
        <v>8</v>
      </c>
      <c r="Q159" s="304">
        <f t="shared" ca="1" si="77"/>
        <v>1950.8422086513999</v>
      </c>
      <c r="R159" s="306">
        <f t="shared" ca="1" si="78"/>
        <v>1.1731860491492725</v>
      </c>
      <c r="S159" s="307">
        <f t="shared" ca="1" si="79"/>
        <v>21.984213242374164</v>
      </c>
      <c r="T159" s="304">
        <f t="shared" ca="1" si="59"/>
        <v>215.66513190769055</v>
      </c>
      <c r="U159" s="311">
        <f t="shared" ca="1" si="60"/>
        <v>0</v>
      </c>
      <c r="V159" s="306">
        <f t="shared" ca="1" si="61"/>
        <v>1.2158191579422615</v>
      </c>
      <c r="W159" s="304">
        <f t="shared" ca="1" si="62"/>
        <v>80.853596240694159</v>
      </c>
      <c r="Y159" s="314" t="str">
        <f t="shared" ca="1" si="80"/>
        <v/>
      </c>
      <c r="Z159" s="315" t="str">
        <f t="shared" ca="1" si="81"/>
        <v/>
      </c>
      <c r="AA159" s="316" t="str">
        <f t="shared" ca="1" si="82"/>
        <v/>
      </c>
      <c r="AC159" s="310" t="e">
        <f t="shared" ca="1" si="83"/>
        <v>#N/A</v>
      </c>
      <c r="AD159" s="323" t="e">
        <f t="shared" ca="1" si="84"/>
        <v>#N/A</v>
      </c>
      <c r="AE159" s="324">
        <f t="shared" ca="1" si="63"/>
        <v>75.227548324216002</v>
      </c>
      <c r="AG159" s="306">
        <f t="shared" ca="1" si="85"/>
        <v>75.803667475591155</v>
      </c>
      <c r="AH159" s="304">
        <f t="shared" ca="1" si="86"/>
        <v>85.112173349409616</v>
      </c>
    </row>
    <row r="160" spans="1:34" x14ac:dyDescent="0.2">
      <c r="A160" s="347">
        <f t="shared" ca="1" si="64"/>
        <v>0.01</v>
      </c>
      <c r="B160" s="304">
        <f t="shared" ca="1" si="65"/>
        <v>1.5600000000000012</v>
      </c>
      <c r="D160" s="306">
        <f t="shared" ca="1" si="66"/>
        <v>26.908748087174526</v>
      </c>
      <c r="E160" s="307">
        <f t="shared" ca="1" si="67"/>
        <v>71.005256308648839</v>
      </c>
      <c r="F160" s="304">
        <f t="shared" ca="1" si="68"/>
        <v>75.93304384176848</v>
      </c>
      <c r="G160" s="306">
        <f t="shared" ca="1" si="69"/>
        <v>34.011105791011623</v>
      </c>
      <c r="H160" s="307">
        <f t="shared" ca="1" si="70"/>
        <v>102.04772346739662</v>
      </c>
      <c r="I160" s="304">
        <f t="shared" ca="1" si="71"/>
        <v>107.56622695811932</v>
      </c>
      <c r="J160" s="306">
        <f t="shared" ca="1" si="72"/>
        <v>23.753106141968864</v>
      </c>
      <c r="K160" s="307">
        <f t="shared" ca="1" si="73"/>
        <v>76.24447529607454</v>
      </c>
      <c r="L160" s="304">
        <f t="shared" ca="1" si="58"/>
        <v>79.858813318038727</v>
      </c>
      <c r="M160" s="306">
        <f t="shared" ca="1" si="74"/>
        <v>1.2490881240467897</v>
      </c>
      <c r="N160" s="304">
        <f t="shared" ca="1" si="75"/>
        <v>71.567477747794484</v>
      </c>
      <c r="P160" s="310">
        <f t="shared" ca="1" si="76"/>
        <v>8</v>
      </c>
      <c r="Q160" s="304">
        <f t="shared" ca="1" si="77"/>
        <v>1952.4112290076339</v>
      </c>
      <c r="R160" s="306">
        <f t="shared" ca="1" si="78"/>
        <v>1.1741296174115348</v>
      </c>
      <c r="S160" s="307">
        <f t="shared" ca="1" si="79"/>
        <v>21.972471946200049</v>
      </c>
      <c r="T160" s="304">
        <f t="shared" ca="1" si="59"/>
        <v>215.54994979222249</v>
      </c>
      <c r="U160" s="311">
        <f t="shared" ca="1" si="60"/>
        <v>0</v>
      </c>
      <c r="V160" s="306">
        <f t="shared" ca="1" si="61"/>
        <v>1.2156955225263752</v>
      </c>
      <c r="W160" s="304">
        <f t="shared" ca="1" si="62"/>
        <v>81.998016292601676</v>
      </c>
      <c r="Y160" s="314" t="str">
        <f t="shared" ca="1" si="80"/>
        <v/>
      </c>
      <c r="Z160" s="315" t="str">
        <f t="shared" ca="1" si="81"/>
        <v/>
      </c>
      <c r="AA160" s="316" t="str">
        <f t="shared" ca="1" si="82"/>
        <v/>
      </c>
      <c r="AC160" s="310" t="e">
        <f t="shared" ca="1" si="83"/>
        <v>#N/A</v>
      </c>
      <c r="AD160" s="323" t="e">
        <f t="shared" ca="1" si="84"/>
        <v>#N/A</v>
      </c>
      <c r="AE160" s="324">
        <f t="shared" ca="1" si="63"/>
        <v>76.24447529607454</v>
      </c>
      <c r="AG160" s="306">
        <f t="shared" ca="1" si="85"/>
        <v>75.869774022481323</v>
      </c>
      <c r="AH160" s="304">
        <f t="shared" ca="1" si="86"/>
        <v>85.177381832571172</v>
      </c>
    </row>
    <row r="161" spans="1:34" x14ac:dyDescent="0.2">
      <c r="A161" s="347">
        <f t="shared" ca="1" si="64"/>
        <v>0.01</v>
      </c>
      <c r="B161" s="304">
        <f t="shared" ca="1" si="65"/>
        <v>1.5700000000000012</v>
      </c>
      <c r="D161" s="306">
        <f t="shared" ca="1" si="66"/>
        <v>26.952554982716261</v>
      </c>
      <c r="E161" s="307">
        <f t="shared" ca="1" si="67"/>
        <v>71.059081250010792</v>
      </c>
      <c r="F161" s="304">
        <f t="shared" ca="1" si="68"/>
        <v>75.998902940713421</v>
      </c>
      <c r="G161" s="306">
        <f t="shared" ca="1" si="69"/>
        <v>34.280631340838788</v>
      </c>
      <c r="H161" s="307">
        <f t="shared" ca="1" si="70"/>
        <v>102.75831427989672</v>
      </c>
      <c r="I161" s="304">
        <f t="shared" ca="1" si="71"/>
        <v>108.32558718406527</v>
      </c>
      <c r="J161" s="306">
        <f t="shared" ca="1" si="72"/>
        <v>24.094564827628115</v>
      </c>
      <c r="K161" s="307">
        <f t="shared" ca="1" si="73"/>
        <v>77.268505484811001</v>
      </c>
      <c r="L161" s="304">
        <f t="shared" ca="1" si="58"/>
        <v>80.938062702841123</v>
      </c>
      <c r="M161" s="306">
        <f t="shared" ca="1" si="74"/>
        <v>1.248801783547216</v>
      </c>
      <c r="N161" s="304">
        <f t="shared" ca="1" si="75"/>
        <v>71.551071645665246</v>
      </c>
      <c r="P161" s="310">
        <f t="shared" ca="1" si="76"/>
        <v>8</v>
      </c>
      <c r="Q161" s="304">
        <f t="shared" ca="1" si="77"/>
        <v>1953.9802493638681</v>
      </c>
      <c r="R161" s="306">
        <f t="shared" ca="1" si="78"/>
        <v>1.175073185673797</v>
      </c>
      <c r="S161" s="307">
        <f t="shared" ca="1" si="79"/>
        <v>21.960721214343312</v>
      </c>
      <c r="T161" s="304">
        <f t="shared" ca="1" si="59"/>
        <v>215.43467511270791</v>
      </c>
      <c r="U161" s="311">
        <f t="shared" ca="1" si="60"/>
        <v>0</v>
      </c>
      <c r="V161" s="306">
        <f t="shared" ca="1" si="61"/>
        <v>1.215571036175261</v>
      </c>
      <c r="W161" s="304">
        <f t="shared" ca="1" si="62"/>
        <v>83.15131181972761</v>
      </c>
      <c r="Y161" s="314" t="str">
        <f t="shared" ca="1" si="80"/>
        <v/>
      </c>
      <c r="Z161" s="315" t="str">
        <f t="shared" ca="1" si="81"/>
        <v/>
      </c>
      <c r="AA161" s="316" t="str">
        <f t="shared" ca="1" si="82"/>
        <v/>
      </c>
      <c r="AC161" s="310" t="e">
        <f t="shared" ca="1" si="83"/>
        <v>#N/A</v>
      </c>
      <c r="AD161" s="323" t="e">
        <f t="shared" ca="1" si="84"/>
        <v>#N/A</v>
      </c>
      <c r="AE161" s="324">
        <f t="shared" ca="1" si="63"/>
        <v>77.268505484811001</v>
      </c>
      <c r="AG161" s="306">
        <f t="shared" ca="1" si="85"/>
        <v>75.935578509078169</v>
      </c>
      <c r="AH161" s="304">
        <f t="shared" ca="1" si="86"/>
        <v>85.242293037653496</v>
      </c>
    </row>
    <row r="162" spans="1:34" x14ac:dyDescent="0.2">
      <c r="A162" s="347">
        <f t="shared" ca="1" si="64"/>
        <v>0.01</v>
      </c>
      <c r="B162" s="304">
        <f t="shared" ca="1" si="65"/>
        <v>1.5800000000000012</v>
      </c>
      <c r="D162" s="306">
        <f t="shared" ca="1" si="66"/>
        <v>26.996157354180887</v>
      </c>
      <c r="E162" s="307">
        <f t="shared" ca="1" si="67"/>
        <v>71.112652624710634</v>
      </c>
      <c r="F162" s="304">
        <f t="shared" ca="1" si="68"/>
        <v>76.064458686133165</v>
      </c>
      <c r="G162" s="306">
        <f t="shared" ca="1" si="69"/>
        <v>34.550592914380594</v>
      </c>
      <c r="H162" s="307">
        <f t="shared" ca="1" si="70"/>
        <v>103.46944080614382</v>
      </c>
      <c r="I162" s="304">
        <f t="shared" ca="1" si="71"/>
        <v>109.08560240229389</v>
      </c>
      <c r="J162" s="306">
        <f t="shared" ca="1" si="72"/>
        <v>24.438720948904212</v>
      </c>
      <c r="K162" s="307">
        <f t="shared" ca="1" si="73"/>
        <v>78.299644260241209</v>
      </c>
      <c r="L162" s="304">
        <f t="shared" ca="1" si="58"/>
        <v>82.024907027675027</v>
      </c>
      <c r="M162" s="306">
        <f t="shared" ca="1" si="74"/>
        <v>1.2485171937417481</v>
      </c>
      <c r="N162" s="304">
        <f t="shared" ca="1" si="75"/>
        <v>71.534765850919484</v>
      </c>
      <c r="P162" s="310">
        <f t="shared" ca="1" si="76"/>
        <v>8</v>
      </c>
      <c r="Q162" s="304">
        <f t="shared" ca="1" si="77"/>
        <v>1955.5492697201021</v>
      </c>
      <c r="R162" s="306">
        <f t="shared" ca="1" si="78"/>
        <v>1.1760167539360591</v>
      </c>
      <c r="S162" s="307">
        <f t="shared" ca="1" si="79"/>
        <v>21.948961046803952</v>
      </c>
      <c r="T162" s="304">
        <f t="shared" ca="1" si="59"/>
        <v>215.31930786914677</v>
      </c>
      <c r="U162" s="311">
        <f t="shared" ca="1" si="60"/>
        <v>0</v>
      </c>
      <c r="V162" s="306">
        <f t="shared" ca="1" si="61"/>
        <v>1.2154456984985564</v>
      </c>
      <c r="W162" s="304">
        <f t="shared" ca="1" si="62"/>
        <v>84.313494098668443</v>
      </c>
      <c r="Y162" s="314" t="str">
        <f t="shared" ca="1" si="80"/>
        <v/>
      </c>
      <c r="Z162" s="315" t="str">
        <f t="shared" ca="1" si="81"/>
        <v/>
      </c>
      <c r="AA162" s="316" t="str">
        <f t="shared" ca="1" si="82"/>
        <v/>
      </c>
      <c r="AC162" s="310" t="e">
        <f t="shared" ca="1" si="83"/>
        <v>#N/A</v>
      </c>
      <c r="AD162" s="323" t="e">
        <f t="shared" ca="1" si="84"/>
        <v>#N/A</v>
      </c>
      <c r="AE162" s="324">
        <f t="shared" ca="1" si="63"/>
        <v>78.299644260241209</v>
      </c>
      <c r="AG162" s="306">
        <f t="shared" ca="1" si="85"/>
        <v>76.00108007331572</v>
      </c>
      <c r="AH162" s="304">
        <f t="shared" ca="1" si="86"/>
        <v>85.306906049342118</v>
      </c>
    </row>
    <row r="163" spans="1:34" x14ac:dyDescent="0.2">
      <c r="A163" s="347">
        <f t="shared" ca="1" si="64"/>
        <v>0.01</v>
      </c>
      <c r="B163" s="304">
        <f t="shared" ca="1" si="65"/>
        <v>1.5900000000000012</v>
      </c>
      <c r="D163" s="306">
        <f t="shared" ca="1" si="66"/>
        <v>27.039556113687524</v>
      </c>
      <c r="E163" s="307">
        <f t="shared" ca="1" si="67"/>
        <v>71.165969288362419</v>
      </c>
      <c r="F163" s="304">
        <f t="shared" ca="1" si="68"/>
        <v>76.129710229170044</v>
      </c>
      <c r="G163" s="306">
        <f t="shared" ca="1" si="69"/>
        <v>34.820988475517467</v>
      </c>
      <c r="H163" s="307">
        <f t="shared" ca="1" si="70"/>
        <v>104.18110049902745</v>
      </c>
      <c r="I163" s="304">
        <f t="shared" ca="1" si="71"/>
        <v>109.84626957525948</v>
      </c>
      <c r="J163" s="306">
        <f t="shared" ca="1" si="72"/>
        <v>24.785578855853704</v>
      </c>
      <c r="K163" s="307">
        <f t="shared" ca="1" si="73"/>
        <v>79.337896966767062</v>
      </c>
      <c r="L163" s="304">
        <f t="shared" ca="1" si="58"/>
        <v>83.119352826697877</v>
      </c>
      <c r="M163" s="306">
        <f t="shared" ca="1" si="74"/>
        <v>1.2482343335894923</v>
      </c>
      <c r="N163" s="304">
        <f t="shared" ca="1" si="75"/>
        <v>71.518559158002802</v>
      </c>
      <c r="P163" s="310">
        <f t="shared" ca="1" si="76"/>
        <v>8</v>
      </c>
      <c r="Q163" s="304">
        <f t="shared" ca="1" si="77"/>
        <v>1957.1182900763363</v>
      </c>
      <c r="R163" s="306">
        <f t="shared" ca="1" si="78"/>
        <v>1.1769603221983216</v>
      </c>
      <c r="S163" s="307">
        <f t="shared" ca="1" si="79"/>
        <v>21.93719144358197</v>
      </c>
      <c r="T163" s="304">
        <f t="shared" ca="1" si="59"/>
        <v>215.20384806153913</v>
      </c>
      <c r="U163" s="311">
        <f t="shared" ca="1" si="60"/>
        <v>0</v>
      </c>
      <c r="V163" s="306">
        <f t="shared" ca="1" si="61"/>
        <v>1.2153195091110081</v>
      </c>
      <c r="W163" s="304">
        <f t="shared" ca="1" si="62"/>
        <v>85.484574233938886</v>
      </c>
      <c r="Y163" s="314" t="str">
        <f t="shared" ca="1" si="80"/>
        <v/>
      </c>
      <c r="Z163" s="315" t="str">
        <f t="shared" ca="1" si="81"/>
        <v/>
      </c>
      <c r="AA163" s="316" t="str">
        <f t="shared" ca="1" si="82"/>
        <v/>
      </c>
      <c r="AC163" s="310" t="e">
        <f t="shared" ca="1" si="83"/>
        <v>#N/A</v>
      </c>
      <c r="AD163" s="323" t="e">
        <f t="shared" ca="1" si="84"/>
        <v>#N/A</v>
      </c>
      <c r="AE163" s="324">
        <f t="shared" ca="1" si="63"/>
        <v>79.337896966767062</v>
      </c>
      <c r="AG163" s="306">
        <f t="shared" ca="1" si="85"/>
        <v>76.066277857298118</v>
      </c>
      <c r="AH163" s="304">
        <f t="shared" ca="1" si="86"/>
        <v>85.371219957401749</v>
      </c>
    </row>
    <row r="164" spans="1:34" x14ac:dyDescent="0.2">
      <c r="A164" s="347">
        <f t="shared" ca="1" si="64"/>
        <v>0.01</v>
      </c>
      <c r="B164" s="304">
        <f t="shared" ca="1" si="65"/>
        <v>1.6000000000000012</v>
      </c>
      <c r="D164" s="306">
        <f t="shared" ca="1" si="66"/>
        <v>27.08275215017418</v>
      </c>
      <c r="E164" s="307">
        <f t="shared" ca="1" si="67"/>
        <v>71.219030107268352</v>
      </c>
      <c r="F164" s="304">
        <f t="shared" ca="1" si="68"/>
        <v>76.194656725047068</v>
      </c>
      <c r="G164" s="306">
        <f t="shared" ca="1" si="69"/>
        <v>35.091815997019211</v>
      </c>
      <c r="H164" s="307">
        <f t="shared" ca="1" si="70"/>
        <v>104.89329080010013</v>
      </c>
      <c r="I164" s="304">
        <f t="shared" ca="1" si="71"/>
        <v>110.60758565687539</v>
      </c>
      <c r="J164" s="306">
        <f t="shared" ca="1" si="72"/>
        <v>25.135142878216389</v>
      </c>
      <c r="K164" s="307">
        <f t="shared" ca="1" si="73"/>
        <v>80.383268923262705</v>
      </c>
      <c r="L164" s="304">
        <f t="shared" ca="1" si="58"/>
        <v>84.221406603653463</v>
      </c>
      <c r="M164" s="306">
        <f t="shared" ca="1" si="74"/>
        <v>1.2479531824272323</v>
      </c>
      <c r="N164" s="304">
        <f t="shared" ca="1" si="75"/>
        <v>71.502450383000109</v>
      </c>
      <c r="P164" s="310">
        <f t="shared" ca="1" si="76"/>
        <v>8</v>
      </c>
      <c r="Q164" s="304">
        <f t="shared" ca="1" si="77"/>
        <v>1958.6873104325703</v>
      </c>
      <c r="R164" s="306">
        <f t="shared" ca="1" si="78"/>
        <v>1.1779038904605836</v>
      </c>
      <c r="S164" s="307">
        <f t="shared" ca="1" si="79"/>
        <v>21.925412404677363</v>
      </c>
      <c r="T164" s="304">
        <f t="shared" ca="1" si="59"/>
        <v>215.08829568988494</v>
      </c>
      <c r="U164" s="311">
        <f t="shared" ca="1" si="60"/>
        <v>0</v>
      </c>
      <c r="V164" s="306">
        <f t="shared" ca="1" si="61"/>
        <v>1.215192467632489</v>
      </c>
      <c r="W164" s="304">
        <f t="shared" ca="1" si="62"/>
        <v>86.664563157241261</v>
      </c>
      <c r="Y164" s="314" t="str">
        <f t="shared" ca="1" si="80"/>
        <v/>
      </c>
      <c r="Z164" s="315" t="str">
        <f t="shared" ca="1" si="81"/>
        <v/>
      </c>
      <c r="AA164" s="316" t="str">
        <f t="shared" ca="1" si="82"/>
        <v/>
      </c>
      <c r="AC164" s="310" t="e">
        <f t="shared" ca="1" si="83"/>
        <v>#N/A</v>
      </c>
      <c r="AD164" s="323" t="e">
        <f t="shared" ca="1" si="84"/>
        <v>#N/A</v>
      </c>
      <c r="AE164" s="324">
        <f t="shared" ca="1" si="63"/>
        <v>80.383268923262705</v>
      </c>
      <c r="AG164" s="306">
        <f t="shared" ca="1" si="85"/>
        <v>76.131171007364102</v>
      </c>
      <c r="AH164" s="304">
        <f t="shared" ca="1" si="86"/>
        <v>85.435233856719591</v>
      </c>
    </row>
    <row r="165" spans="1:34" x14ac:dyDescent="0.2">
      <c r="A165" s="347">
        <f t="shared" ca="1" si="64"/>
        <v>0.01</v>
      </c>
      <c r="B165" s="304">
        <f t="shared" ca="1" si="65"/>
        <v>1.6100000000000012</v>
      </c>
      <c r="D165" s="306">
        <f t="shared" ca="1" si="66"/>
        <v>27.125746330035575</v>
      </c>
      <c r="E165" s="307">
        <f t="shared" ca="1" si="67"/>
        <v>71.271833958318339</v>
      </c>
      <c r="F165" s="304">
        <f t="shared" ca="1" si="68"/>
        <v>76.259297333135308</v>
      </c>
      <c r="G165" s="306">
        <f t="shared" ca="1" si="69"/>
        <v>35.363073460319569</v>
      </c>
      <c r="H165" s="307">
        <f t="shared" ca="1" si="70"/>
        <v>105.60600913968331</v>
      </c>
      <c r="I165" s="304">
        <f t="shared" ca="1" si="71"/>
        <v>111.36954759255707</v>
      </c>
      <c r="J165" s="306">
        <f t="shared" ca="1" si="72"/>
        <v>25.487417325503081</v>
      </c>
      <c r="K165" s="307">
        <f t="shared" ca="1" si="73"/>
        <v>81.435765422961623</v>
      </c>
      <c r="L165" s="304">
        <f t="shared" ca="1" si="58"/>
        <v>85.331074831786722</v>
      </c>
      <c r="M165" s="306">
        <f t="shared" ca="1" si="74"/>
        <v>1.2476737199603205</v>
      </c>
      <c r="N165" s="304">
        <f t="shared" ca="1" si="75"/>
        <v>71.486438363113749</v>
      </c>
      <c r="P165" s="310">
        <f t="shared" ca="1" si="76"/>
        <v>8</v>
      </c>
      <c r="Q165" s="304">
        <f t="shared" ca="1" si="77"/>
        <v>1960.2563307888045</v>
      </c>
      <c r="R165" s="306">
        <f t="shared" ca="1" si="78"/>
        <v>1.1788474587228461</v>
      </c>
      <c r="S165" s="307">
        <f t="shared" ca="1" si="79"/>
        <v>21.913623930090136</v>
      </c>
      <c r="T165" s="304">
        <f t="shared" ca="1" si="59"/>
        <v>214.97265075418426</v>
      </c>
      <c r="U165" s="311">
        <f t="shared" ca="1" si="60"/>
        <v>0</v>
      </c>
      <c r="V165" s="306">
        <f t="shared" ca="1" si="61"/>
        <v>1.2150645736880135</v>
      </c>
      <c r="W165" s="304">
        <f t="shared" ca="1" si="62"/>
        <v>87.853471626741111</v>
      </c>
      <c r="Y165" s="314" t="str">
        <f t="shared" ca="1" si="80"/>
        <v/>
      </c>
      <c r="Z165" s="315" t="str">
        <f t="shared" ca="1" si="81"/>
        <v/>
      </c>
      <c r="AA165" s="316" t="str">
        <f t="shared" ca="1" si="82"/>
        <v/>
      </c>
      <c r="AC165" s="310" t="e">
        <f t="shared" ca="1" si="83"/>
        <v>#N/A</v>
      </c>
      <c r="AD165" s="323" t="e">
        <f t="shared" ca="1" si="84"/>
        <v>#N/A</v>
      </c>
      <c r="AE165" s="324">
        <f t="shared" ca="1" si="63"/>
        <v>81.435765422961623</v>
      </c>
      <c r="AG165" s="306">
        <f t="shared" ca="1" si="85"/>
        <v>76.195758674151023</v>
      </c>
      <c r="AH165" s="304">
        <f t="shared" ca="1" si="86"/>
        <v>85.49894684734862</v>
      </c>
    </row>
    <row r="166" spans="1:34" x14ac:dyDescent="0.2">
      <c r="A166" s="347">
        <f t="shared" ca="1" si="64"/>
        <v>0.01</v>
      </c>
      <c r="B166" s="304">
        <f t="shared" ca="1" si="65"/>
        <v>1.6200000000000012</v>
      </c>
      <c r="D166" s="306">
        <f t="shared" ca="1" si="66"/>
        <v>27.16853949774136</v>
      </c>
      <c r="E166" s="307">
        <f t="shared" ca="1" si="67"/>
        <v>71.324379728893447</v>
      </c>
      <c r="F166" s="304">
        <f t="shared" ca="1" si="68"/>
        <v>76.323631217020321</v>
      </c>
      <c r="G166" s="306">
        <f t="shared" ca="1" si="69"/>
        <v>35.63475885529698</v>
      </c>
      <c r="H166" s="307">
        <f t="shared" ca="1" si="70"/>
        <v>106.31925293697225</v>
      </c>
      <c r="I166" s="304">
        <f t="shared" ca="1" si="71"/>
        <v>112.1321523192659</v>
      </c>
      <c r="J166" s="306">
        <f t="shared" ca="1" si="72"/>
        <v>25.842406487081163</v>
      </c>
      <c r="K166" s="307">
        <f t="shared" ca="1" si="73"/>
        <v>82.495391733344903</v>
      </c>
      <c r="L166" s="304">
        <f t="shared" ca="1" si="58"/>
        <v>86.448363953758928</v>
      </c>
      <c r="M166" s="306">
        <f t="shared" ca="1" si="74"/>
        <v>1.2473959262538432</v>
      </c>
      <c r="N166" s="304">
        <f t="shared" ca="1" si="75"/>
        <v>71.470521956157299</v>
      </c>
      <c r="P166" s="310">
        <f t="shared" ca="1" si="76"/>
        <v>8</v>
      </c>
      <c r="Q166" s="304">
        <f t="shared" ca="1" si="77"/>
        <v>1961.8253511450384</v>
      </c>
      <c r="R166" s="306">
        <f t="shared" ca="1" si="78"/>
        <v>1.1797910269851082</v>
      </c>
      <c r="S166" s="307">
        <f t="shared" ca="1" si="79"/>
        <v>21.901826019820284</v>
      </c>
      <c r="T166" s="304">
        <f t="shared" ca="1" si="59"/>
        <v>214.85691325443699</v>
      </c>
      <c r="U166" s="311">
        <f t="shared" ca="1" si="60"/>
        <v>0</v>
      </c>
      <c r="V166" s="306">
        <f t="shared" ca="1" si="61"/>
        <v>1.2149358269077513</v>
      </c>
      <c r="W166" s="304">
        <f t="shared" ca="1" si="62"/>
        <v>89.051310226348932</v>
      </c>
      <c r="Y166" s="314" t="str">
        <f t="shared" ca="1" si="80"/>
        <v/>
      </c>
      <c r="Z166" s="315" t="str">
        <f t="shared" ca="1" si="81"/>
        <v/>
      </c>
      <c r="AA166" s="316" t="str">
        <f t="shared" ca="1" si="82"/>
        <v/>
      </c>
      <c r="AC166" s="310" t="e">
        <f t="shared" ca="1" si="83"/>
        <v>#N/A</v>
      </c>
      <c r="AD166" s="323" t="e">
        <f t="shared" ca="1" si="84"/>
        <v>#N/A</v>
      </c>
      <c r="AE166" s="324">
        <f t="shared" ca="1" si="63"/>
        <v>82.495391733344903</v>
      </c>
      <c r="AG166" s="306">
        <f t="shared" ca="1" si="85"/>
        <v>76.260040012657683</v>
      </c>
      <c r="AH166" s="304">
        <f t="shared" ca="1" si="86"/>
        <v>85.562358034550499</v>
      </c>
    </row>
    <row r="167" spans="1:34" x14ac:dyDescent="0.2">
      <c r="A167" s="347">
        <f t="shared" ca="1" si="64"/>
        <v>0.01</v>
      </c>
      <c r="B167" s="304">
        <f t="shared" ca="1" si="65"/>
        <v>1.6300000000000012</v>
      </c>
      <c r="D167" s="306">
        <f t="shared" ca="1" si="66"/>
        <v>27.211132476436248</v>
      </c>
      <c r="E167" s="307">
        <f t="shared" ca="1" si="67"/>
        <v>71.376666316773481</v>
      </c>
      <c r="F167" s="304">
        <f t="shared" ca="1" si="68"/>
        <v>76.387657544567958</v>
      </c>
      <c r="G167" s="306">
        <f t="shared" ca="1" si="69"/>
        <v>35.90687018006134</v>
      </c>
      <c r="H167" s="307">
        <f t="shared" ca="1" si="70"/>
        <v>107.03301960013998</v>
      </c>
      <c r="I167" s="304">
        <f t="shared" ca="1" si="71"/>
        <v>112.89539676555341</v>
      </c>
      <c r="J167" s="306">
        <f t="shared" ca="1" si="72"/>
        <v>26.200114632257954</v>
      </c>
      <c r="K167" s="307">
        <f t="shared" ca="1" si="73"/>
        <v>83.562153096030471</v>
      </c>
      <c r="L167" s="304">
        <f t="shared" ca="1" si="58"/>
        <v>87.573280381563265</v>
      </c>
      <c r="M167" s="306">
        <f t="shared" ca="1" si="74"/>
        <v>1.247119781724052</v>
      </c>
      <c r="N167" s="304">
        <f t="shared" ca="1" si="75"/>
        <v>71.454700040064637</v>
      </c>
      <c r="P167" s="310">
        <f t="shared" ca="1" si="76"/>
        <v>8</v>
      </c>
      <c r="Q167" s="304">
        <f t="shared" ca="1" si="77"/>
        <v>1963.3943715012726</v>
      </c>
      <c r="R167" s="306">
        <f t="shared" ca="1" si="78"/>
        <v>1.1807345952473705</v>
      </c>
      <c r="S167" s="307">
        <f t="shared" ca="1" si="79"/>
        <v>21.890018673867811</v>
      </c>
      <c r="T167" s="304">
        <f t="shared" ca="1" si="59"/>
        <v>214.74108319064322</v>
      </c>
      <c r="U167" s="311">
        <f t="shared" ca="1" si="60"/>
        <v>0</v>
      </c>
      <c r="V167" s="306">
        <f t="shared" ca="1" si="61"/>
        <v>1.2148062269270437</v>
      </c>
      <c r="W167" s="304">
        <f t="shared" ca="1" si="62"/>
        <v>90.25808936500826</v>
      </c>
      <c r="Y167" s="314" t="str">
        <f t="shared" ca="1" si="80"/>
        <v/>
      </c>
      <c r="Z167" s="315" t="str">
        <f t="shared" ca="1" si="81"/>
        <v/>
      </c>
      <c r="AA167" s="316" t="str">
        <f t="shared" ca="1" si="82"/>
        <v/>
      </c>
      <c r="AC167" s="310" t="e">
        <f t="shared" ca="1" si="83"/>
        <v>#N/A</v>
      </c>
      <c r="AD167" s="323" t="e">
        <f t="shared" ca="1" si="84"/>
        <v>#N/A</v>
      </c>
      <c r="AE167" s="324">
        <f t="shared" ca="1" si="63"/>
        <v>83.562153096030471</v>
      </c>
      <c r="AG167" s="306">
        <f t="shared" ca="1" si="85"/>
        <v>76.324014182306954</v>
      </c>
      <c r="AH167" s="304">
        <f t="shared" ca="1" si="86"/>
        <v>85.625466528838757</v>
      </c>
    </row>
    <row r="168" spans="1:34" x14ac:dyDescent="0.2">
      <c r="A168" s="347">
        <f t="shared" ca="1" si="64"/>
        <v>0.01</v>
      </c>
      <c r="B168" s="304">
        <f t="shared" ca="1" si="65"/>
        <v>1.6400000000000012</v>
      </c>
      <c r="D168" s="306">
        <f t="shared" ca="1" si="66"/>
        <v>27.253526068522067</v>
      </c>
      <c r="E168" s="307">
        <f t="shared" ca="1" si="67"/>
        <v>71.428692630048232</v>
      </c>
      <c r="F168" s="304">
        <f t="shared" ca="1" si="68"/>
        <v>76.451375487989225</v>
      </c>
      <c r="G168" s="306">
        <f t="shared" ca="1" si="69"/>
        <v>36.179405440746564</v>
      </c>
      <c r="H168" s="307">
        <f t="shared" ca="1" si="70"/>
        <v>107.74730652644047</v>
      </c>
      <c r="I168" s="304">
        <f t="shared" ca="1" si="71"/>
        <v>113.6592778516063</v>
      </c>
      <c r="J168" s="306">
        <f t="shared" ca="1" si="72"/>
        <v>26.560546010361993</v>
      </c>
      <c r="K168" s="307">
        <f t="shared" ca="1" si="73"/>
        <v>84.636054726663374</v>
      </c>
      <c r="L168" s="304">
        <f t="shared" ca="1" si="58"/>
        <v>88.705830496440953</v>
      </c>
      <c r="M168" s="306">
        <f t="shared" ca="1" si="74"/>
        <v>1.2468452671300505</v>
      </c>
      <c r="N168" s="304">
        <f t="shared" ca="1" si="75"/>
        <v>71.438971512413602</v>
      </c>
      <c r="P168" s="310">
        <f t="shared" ca="1" si="76"/>
        <v>8</v>
      </c>
      <c r="Q168" s="304">
        <f t="shared" ca="1" si="77"/>
        <v>1964.9633918575066</v>
      </c>
      <c r="R168" s="306">
        <f t="shared" ca="1" si="78"/>
        <v>1.1816781635096327</v>
      </c>
      <c r="S168" s="307">
        <f t="shared" ca="1" si="79"/>
        <v>21.878201892232713</v>
      </c>
      <c r="T168" s="304">
        <f t="shared" ca="1" si="59"/>
        <v>214.62516056280293</v>
      </c>
      <c r="U168" s="311">
        <f t="shared" ca="1" si="60"/>
        <v>0</v>
      </c>
      <c r="V168" s="306">
        <f t="shared" ca="1" si="61"/>
        <v>1.2146757733864177</v>
      </c>
      <c r="W168" s="304">
        <f t="shared" ca="1" si="62"/>
        <v>91.473819275990181</v>
      </c>
      <c r="Y168" s="314" t="str">
        <f t="shared" ca="1" si="80"/>
        <v/>
      </c>
      <c r="Z168" s="315" t="str">
        <f t="shared" ca="1" si="81"/>
        <v/>
      </c>
      <c r="AA168" s="316" t="str">
        <f t="shared" ca="1" si="82"/>
        <v/>
      </c>
      <c r="AC168" s="310" t="e">
        <f t="shared" ca="1" si="83"/>
        <v>#N/A</v>
      </c>
      <c r="AD168" s="323" t="e">
        <f t="shared" ca="1" si="84"/>
        <v>#N/A</v>
      </c>
      <c r="AE168" s="324">
        <f t="shared" ca="1" si="63"/>
        <v>84.636054726663374</v>
      </c>
      <c r="AG168" s="306">
        <f t="shared" ca="1" si="85"/>
        <v>76.387680347007404</v>
      </c>
      <c r="AH168" s="304">
        <f t="shared" ca="1" si="86"/>
        <v>85.688271446021517</v>
      </c>
    </row>
    <row r="169" spans="1:34" x14ac:dyDescent="0.2">
      <c r="A169" s="347">
        <f t="shared" ca="1" si="64"/>
        <v>0.01</v>
      </c>
      <c r="B169" s="304">
        <f t="shared" ca="1" si="65"/>
        <v>1.6500000000000012</v>
      </c>
      <c r="D169" s="306">
        <f t="shared" ca="1" si="66"/>
        <v>27.295721056222835</v>
      </c>
      <c r="E169" s="307">
        <f t="shared" ca="1" si="67"/>
        <v>71.48045758703239</v>
      </c>
      <c r="F169" s="304">
        <f t="shared" ca="1" si="68"/>
        <v>76.514784223904499</v>
      </c>
      <c r="G169" s="306">
        <f t="shared" ca="1" si="69"/>
        <v>36.452362651308789</v>
      </c>
      <c r="H169" s="307">
        <f t="shared" ca="1" si="70"/>
        <v>108.46211110231079</v>
      </c>
      <c r="I169" s="304">
        <f t="shared" ca="1" si="71"/>
        <v>114.42379248929193</v>
      </c>
      <c r="J169" s="306">
        <f t="shared" ca="1" si="72"/>
        <v>26.923704850822268</v>
      </c>
      <c r="K169" s="307">
        <f t="shared" ca="1" si="73"/>
        <v>85.717101814807137</v>
      </c>
      <c r="L169" s="304">
        <f t="shared" ca="1" si="58"/>
        <v>89.846020648797818</v>
      </c>
      <c r="M169" s="306">
        <f t="shared" ca="1" si="74"/>
        <v>1.246572363565728</v>
      </c>
      <c r="N169" s="304">
        <f t="shared" ca="1" si="75"/>
        <v>71.423335289963845</v>
      </c>
      <c r="P169" s="310">
        <f t="shared" ca="1" si="76"/>
        <v>8</v>
      </c>
      <c r="Q169" s="304">
        <f t="shared" ca="1" si="77"/>
        <v>1966.5324122137408</v>
      </c>
      <c r="R169" s="306">
        <f t="shared" ca="1" si="78"/>
        <v>1.182621731771895</v>
      </c>
      <c r="S169" s="307">
        <f t="shared" ca="1" si="79"/>
        <v>21.866375674914995</v>
      </c>
      <c r="T169" s="304">
        <f t="shared" ca="1" si="59"/>
        <v>214.50914537091612</v>
      </c>
      <c r="U169" s="311">
        <f t="shared" ca="1" si="60"/>
        <v>0</v>
      </c>
      <c r="V169" s="306">
        <f t="shared" ca="1" si="61"/>
        <v>1.2145444659315996</v>
      </c>
      <c r="W169" s="304">
        <f t="shared" ca="1" si="62"/>
        <v>92.698510016194106</v>
      </c>
      <c r="Y169" s="314" t="str">
        <f t="shared" ca="1" si="80"/>
        <v/>
      </c>
      <c r="Z169" s="315" t="str">
        <f t="shared" ca="1" si="81"/>
        <v/>
      </c>
      <c r="AA169" s="316" t="str">
        <f t="shared" ca="1" si="82"/>
        <v/>
      </c>
      <c r="AC169" s="310" t="e">
        <f t="shared" ca="1" si="83"/>
        <v>#N/A</v>
      </c>
      <c r="AD169" s="323" t="e">
        <f t="shared" ca="1" si="84"/>
        <v>#N/A</v>
      </c>
      <c r="AE169" s="324">
        <f t="shared" ca="1" si="63"/>
        <v>85.717101814807137</v>
      </c>
      <c r="AG169" s="306">
        <f t="shared" ca="1" si="85"/>
        <v>76.451037675214394</v>
      </c>
      <c r="AH169" s="304">
        <f t="shared" ca="1" si="86"/>
        <v>85.7507719072443</v>
      </c>
    </row>
    <row r="170" spans="1:34" x14ac:dyDescent="0.2">
      <c r="A170" s="347">
        <f t="shared" ca="1" si="64"/>
        <v>0.01</v>
      </c>
      <c r="B170" s="304">
        <f t="shared" ca="1" si="65"/>
        <v>1.6600000000000013</v>
      </c>
      <c r="D170" s="306">
        <f t="shared" ca="1" si="66"/>
        <v>27.337718202133178</v>
      </c>
      <c r="E170" s="307">
        <f t="shared" ca="1" si="67"/>
        <v>71.531960116183896</v>
      </c>
      <c r="F170" s="304">
        <f t="shared" ca="1" si="68"/>
        <v>76.577882933406869</v>
      </c>
      <c r="G170" s="306">
        <f t="shared" ca="1" si="69"/>
        <v>36.725739833330124</v>
      </c>
      <c r="H170" s="307">
        <f t="shared" ca="1" si="70"/>
        <v>109.17743070347262</v>
      </c>
      <c r="I170" s="304">
        <f t="shared" ca="1" si="71"/>
        <v>115.18893758220455</v>
      </c>
      <c r="J170" s="306">
        <f t="shared" ca="1" si="72"/>
        <v>27.289595363245464</v>
      </c>
      <c r="K170" s="307">
        <f t="shared" ca="1" si="73"/>
        <v>86.805299523836055</v>
      </c>
      <c r="L170" s="304">
        <f t="shared" ca="1" si="58"/>
        <v>90.993857158121173</v>
      </c>
      <c r="M170" s="306">
        <f t="shared" ca="1" si="74"/>
        <v>1.2463010524519316</v>
      </c>
      <c r="N170" s="304">
        <f t="shared" ca="1" si="75"/>
        <v>71.40779030820832</v>
      </c>
      <c r="P170" s="310">
        <f t="shared" ca="1" si="76"/>
        <v>8</v>
      </c>
      <c r="Q170" s="304">
        <f t="shared" ca="1" si="77"/>
        <v>1968.1014325699748</v>
      </c>
      <c r="R170" s="306">
        <f t="shared" ca="1" si="78"/>
        <v>1.1835653000341573</v>
      </c>
      <c r="S170" s="307">
        <f t="shared" ca="1" si="79"/>
        <v>21.854540021914652</v>
      </c>
      <c r="T170" s="304">
        <f t="shared" ca="1" si="59"/>
        <v>214.39303761498275</v>
      </c>
      <c r="U170" s="311">
        <f t="shared" ca="1" si="60"/>
        <v>0</v>
      </c>
      <c r="V170" s="306">
        <f t="shared" ca="1" si="61"/>
        <v>1.2144123042135309</v>
      </c>
      <c r="W170" s="304">
        <f t="shared" ca="1" si="62"/>
        <v>93.932171465455511</v>
      </c>
      <c r="Y170" s="314" t="str">
        <f t="shared" ca="1" si="80"/>
        <v/>
      </c>
      <c r="Z170" s="315" t="str">
        <f t="shared" ca="1" si="81"/>
        <v/>
      </c>
      <c r="AA170" s="316" t="str">
        <f t="shared" ca="1" si="82"/>
        <v/>
      </c>
      <c r="AC170" s="310" t="e">
        <f t="shared" ca="1" si="83"/>
        <v>#N/A</v>
      </c>
      <c r="AD170" s="323" t="e">
        <f t="shared" ca="1" si="84"/>
        <v>#N/A</v>
      </c>
      <c r="AE170" s="324">
        <f t="shared" ca="1" si="63"/>
        <v>86.805299523836055</v>
      </c>
      <c r="AG170" s="306">
        <f t="shared" ca="1" si="85"/>
        <v>76.514085339990487</v>
      </c>
      <c r="AH170" s="304">
        <f t="shared" ca="1" si="86"/>
        <v>85.8129670390326</v>
      </c>
    </row>
    <row r="171" spans="1:34" x14ac:dyDescent="0.2">
      <c r="A171" s="347">
        <f t="shared" ca="1" si="64"/>
        <v>0.01</v>
      </c>
      <c r="B171" s="304">
        <f t="shared" ca="1" si="65"/>
        <v>1.6700000000000013</v>
      </c>
      <c r="D171" s="306">
        <f t="shared" ca="1" si="66"/>
        <v>27.379518249750806</v>
      </c>
      <c r="E171" s="307">
        <f t="shared" ca="1" si="67"/>
        <v>71.583199156025927</v>
      </c>
      <c r="F171" s="304">
        <f t="shared" ca="1" si="68"/>
        <v>76.640670802125086</v>
      </c>
      <c r="G171" s="306">
        <f t="shared" ca="1" si="69"/>
        <v>36.999535015827632</v>
      </c>
      <c r="H171" s="307">
        <f t="shared" ca="1" si="70"/>
        <v>109.89326269503289</v>
      </c>
      <c r="I171" s="304">
        <f t="shared" ca="1" si="71"/>
        <v>115.95471002571203</v>
      </c>
      <c r="J171" s="306">
        <f t="shared" ca="1" si="72"/>
        <v>27.658221737491253</v>
      </c>
      <c r="K171" s="307">
        <f t="shared" ca="1" si="73"/>
        <v>87.900652990828576</v>
      </c>
      <c r="L171" s="304">
        <f t="shared" ca="1" si="58"/>
        <v>92.149346312897379</v>
      </c>
      <c r="M171" s="306">
        <f t="shared" ca="1" si="74"/>
        <v>1.2460313155288658</v>
      </c>
      <c r="N171" s="304">
        <f t="shared" ca="1" si="75"/>
        <v>71.392335520937806</v>
      </c>
      <c r="P171" s="310">
        <f t="shared" ca="1" si="76"/>
        <v>8</v>
      </c>
      <c r="Q171" s="304">
        <f t="shared" ca="1" si="77"/>
        <v>1969.670452926209</v>
      </c>
      <c r="R171" s="306">
        <f t="shared" ca="1" si="78"/>
        <v>1.1845088682964195</v>
      </c>
      <c r="S171" s="307">
        <f t="shared" ca="1" si="79"/>
        <v>21.842694933231687</v>
      </c>
      <c r="T171" s="304">
        <f t="shared" ca="1" si="59"/>
        <v>214.27683729500285</v>
      </c>
      <c r="U171" s="311">
        <f t="shared" ca="1" si="60"/>
        <v>0</v>
      </c>
      <c r="V171" s="306">
        <f t="shared" ca="1" si="61"/>
        <v>1.2142792878883804</v>
      </c>
      <c r="W171" s="304">
        <f t="shared" ca="1" si="62"/>
        <v>95.174813325859745</v>
      </c>
      <c r="Y171" s="314" t="str">
        <f t="shared" ca="1" si="80"/>
        <v/>
      </c>
      <c r="Z171" s="315" t="str">
        <f t="shared" ca="1" si="81"/>
        <v/>
      </c>
      <c r="AA171" s="316" t="str">
        <f t="shared" ca="1" si="82"/>
        <v/>
      </c>
      <c r="AC171" s="310" t="e">
        <f t="shared" ca="1" si="83"/>
        <v>#N/A</v>
      </c>
      <c r="AD171" s="323" t="e">
        <f t="shared" ca="1" si="84"/>
        <v>#N/A</v>
      </c>
      <c r="AE171" s="324">
        <f t="shared" ca="1" si="63"/>
        <v>87.900652990828576</v>
      </c>
      <c r="AG171" s="306">
        <f t="shared" ca="1" si="85"/>
        <v>76.576822519065246</v>
      </c>
      <c r="AH171" s="304">
        <f t="shared" ca="1" si="86"/>
        <v>85.874855973334462</v>
      </c>
    </row>
    <row r="172" spans="1:34" x14ac:dyDescent="0.2">
      <c r="A172" s="347">
        <f t="shared" ca="1" si="64"/>
        <v>0.01</v>
      </c>
      <c r="B172" s="304">
        <f t="shared" ca="1" si="65"/>
        <v>1.6800000000000013</v>
      </c>
      <c r="D172" s="306">
        <f t="shared" ca="1" si="66"/>
        <v>27.421121923993784</v>
      </c>
      <c r="E172" s="307">
        <f t="shared" ca="1" si="67"/>
        <v>71.634173655071763</v>
      </c>
      <c r="F172" s="304">
        <f t="shared" ca="1" si="68"/>
        <v>76.703147020285357</v>
      </c>
      <c r="G172" s="306">
        <f t="shared" ca="1" si="69"/>
        <v>37.27374623506757</v>
      </c>
      <c r="H172" s="307">
        <f t="shared" ca="1" si="70"/>
        <v>110.60960443158361</v>
      </c>
      <c r="I172" s="304">
        <f t="shared" ca="1" si="71"/>
        <v>116.72110670700313</v>
      </c>
      <c r="J172" s="306">
        <f t="shared" ca="1" si="72"/>
        <v>28.02958814374573</v>
      </c>
      <c r="K172" s="307">
        <f t="shared" ca="1" si="73"/>
        <v>89.003167326461664</v>
      </c>
      <c r="L172" s="304">
        <f t="shared" ca="1" si="58"/>
        <v>93.312494370529734</v>
      </c>
      <c r="M172" s="306">
        <f t="shared" ca="1" si="74"/>
        <v>1.2457631348487166</v>
      </c>
      <c r="N172" s="304">
        <f t="shared" ca="1" si="75"/>
        <v>71.376969899818306</v>
      </c>
      <c r="P172" s="310">
        <f t="shared" ca="1" si="76"/>
        <v>8</v>
      </c>
      <c r="Q172" s="304">
        <f t="shared" ca="1" si="77"/>
        <v>1971.2394732824432</v>
      </c>
      <c r="R172" s="306">
        <f t="shared" ca="1" si="78"/>
        <v>1.1854524365586818</v>
      </c>
      <c r="S172" s="307">
        <f t="shared" ca="1" si="79"/>
        <v>21.830840408866102</v>
      </c>
      <c r="T172" s="304">
        <f t="shared" ca="1" si="59"/>
        <v>214.16054441097648</v>
      </c>
      <c r="U172" s="311">
        <f t="shared" ca="1" si="60"/>
        <v>0</v>
      </c>
      <c r="V172" s="306">
        <f t="shared" ca="1" si="61"/>
        <v>1.2141454166175611</v>
      </c>
      <c r="W172" s="304">
        <f t="shared" ca="1" si="62"/>
        <v>96.426445121062699</v>
      </c>
      <c r="Y172" s="314" t="str">
        <f t="shared" ca="1" si="80"/>
        <v/>
      </c>
      <c r="Z172" s="315" t="str">
        <f t="shared" ca="1" si="81"/>
        <v/>
      </c>
      <c r="AA172" s="316" t="str">
        <f t="shared" ca="1" si="82"/>
        <v/>
      </c>
      <c r="AC172" s="310" t="e">
        <f t="shared" ca="1" si="83"/>
        <v>#N/A</v>
      </c>
      <c r="AD172" s="323" t="e">
        <f t="shared" ca="1" si="84"/>
        <v>#N/A</v>
      </c>
      <c r="AE172" s="324">
        <f t="shared" ca="1" si="63"/>
        <v>89.003167326461664</v>
      </c>
      <c r="AG172" s="306">
        <f t="shared" ca="1" si="85"/>
        <v>76.639248394894352</v>
      </c>
      <c r="AH172" s="304">
        <f t="shared" ca="1" si="86"/>
        <v>85.936437847562757</v>
      </c>
    </row>
    <row r="173" spans="1:34" x14ac:dyDescent="0.2">
      <c r="A173" s="347">
        <f t="shared" ca="1" si="64"/>
        <v>0.01</v>
      </c>
      <c r="B173" s="304">
        <f t="shared" ca="1" si="65"/>
        <v>1.6900000000000013</v>
      </c>
      <c r="D173" s="306">
        <f t="shared" ca="1" si="66"/>
        <v>27.462529931702662</v>
      </c>
      <c r="E173" s="307">
        <f t="shared" ca="1" si="67"/>
        <v>71.684882571753093</v>
      </c>
      <c r="F173" s="304">
        <f t="shared" ca="1" si="68"/>
        <v>76.765310782772815</v>
      </c>
      <c r="G173" s="306">
        <f t="shared" ca="1" si="69"/>
        <v>37.5483715343846</v>
      </c>
      <c r="H173" s="307">
        <f t="shared" ca="1" si="70"/>
        <v>111.32645325730114</v>
      </c>
      <c r="I173" s="304">
        <f t="shared" ca="1" si="71"/>
        <v>117.48812450513559</v>
      </c>
      <c r="J173" s="306">
        <f t="shared" ca="1" si="72"/>
        <v>28.403698732592993</v>
      </c>
      <c r="K173" s="307">
        <f t="shared" ca="1" si="73"/>
        <v>90.112847614906087</v>
      </c>
      <c r="L173" s="304">
        <f t="shared" ca="1" si="58"/>
        <v>94.48330755725685</v>
      </c>
      <c r="M173" s="306">
        <f t="shared" ca="1" si="74"/>
        <v>1.2454964927684862</v>
      </c>
      <c r="N173" s="304">
        <f t="shared" ca="1" si="75"/>
        <v>71.361692433980522</v>
      </c>
      <c r="P173" s="310">
        <f t="shared" ca="1" si="76"/>
        <v>8</v>
      </c>
      <c r="Q173" s="304">
        <f t="shared" ca="1" si="77"/>
        <v>1972.8084936386772</v>
      </c>
      <c r="R173" s="306">
        <f t="shared" ca="1" si="78"/>
        <v>1.1863960048209441</v>
      </c>
      <c r="S173" s="307">
        <f t="shared" ca="1" si="79"/>
        <v>21.818976448817892</v>
      </c>
      <c r="T173" s="304">
        <f t="shared" ca="1" si="59"/>
        <v>214.04415896290354</v>
      </c>
      <c r="U173" s="311">
        <f t="shared" ca="1" si="60"/>
        <v>0</v>
      </c>
      <c r="V173" s="306">
        <f t="shared" ca="1" si="61"/>
        <v>1.2140106900677401</v>
      </c>
      <c r="W173" s="304">
        <f t="shared" ca="1" si="62"/>
        <v>97.687076195618346</v>
      </c>
      <c r="Y173" s="314" t="str">
        <f t="shared" ca="1" si="80"/>
        <v/>
      </c>
      <c r="Z173" s="315" t="str">
        <f t="shared" ca="1" si="81"/>
        <v/>
      </c>
      <c r="AA173" s="316" t="str">
        <f t="shared" ca="1" si="82"/>
        <v/>
      </c>
      <c r="AC173" s="310" t="e">
        <f t="shared" ca="1" si="83"/>
        <v>#N/A</v>
      </c>
      <c r="AD173" s="323" t="e">
        <f t="shared" ca="1" si="84"/>
        <v>#N/A</v>
      </c>
      <c r="AE173" s="324">
        <f t="shared" ca="1" si="63"/>
        <v>90.112847614906087</v>
      </c>
      <c r="AG173" s="306">
        <f t="shared" ca="1" si="85"/>
        <v>76.701362154718282</v>
      </c>
      <c r="AH173" s="304">
        <f t="shared" ca="1" si="86"/>
        <v>85.997711804637518</v>
      </c>
    </row>
    <row r="174" spans="1:34" x14ac:dyDescent="0.2">
      <c r="A174" s="347">
        <f t="shared" ca="1" si="64"/>
        <v>0.01</v>
      </c>
      <c r="B174" s="304">
        <f t="shared" ca="1" si="65"/>
        <v>1.7000000000000013</v>
      </c>
      <c r="D174" s="306">
        <f t="shared" ca="1" si="66"/>
        <v>27.503742962128587</v>
      </c>
      <c r="E174" s="307">
        <f t="shared" ca="1" si="67"/>
        <v>71.735324874351193</v>
      </c>
      <c r="F174" s="304">
        <f t="shared" ca="1" si="68"/>
        <v>76.827161289192162</v>
      </c>
      <c r="G174" s="306">
        <f t="shared" ca="1" si="69"/>
        <v>37.823408964005885</v>
      </c>
      <c r="H174" s="307">
        <f t="shared" ca="1" si="70"/>
        <v>112.04380650604465</v>
      </c>
      <c r="I174" s="304">
        <f t="shared" ca="1" si="71"/>
        <v>118.2557602910844</v>
      </c>
      <c r="J174" s="306">
        <f t="shared" ca="1" si="72"/>
        <v>28.780557635084946</v>
      </c>
      <c r="K174" s="307">
        <f t="shared" ca="1" si="73"/>
        <v>91.229698913722814</v>
      </c>
      <c r="L174" s="304">
        <f t="shared" ca="1" si="58"/>
        <v>95.661792068071577</v>
      </c>
      <c r="M174" s="306">
        <f t="shared" ca="1" si="74"/>
        <v>1.2452313719430359</v>
      </c>
      <c r="N174" s="304">
        <f t="shared" ca="1" si="75"/>
        <v>71.346502129621186</v>
      </c>
      <c r="P174" s="310">
        <f t="shared" ca="1" si="76"/>
        <v>8</v>
      </c>
      <c r="Q174" s="304">
        <f t="shared" ca="1" si="77"/>
        <v>1974.3775139949114</v>
      </c>
      <c r="R174" s="306">
        <f t="shared" ca="1" si="78"/>
        <v>1.1873395730832064</v>
      </c>
      <c r="S174" s="307">
        <f t="shared" ca="1" si="79"/>
        <v>21.807103053087062</v>
      </c>
      <c r="T174" s="304">
        <f t="shared" ca="1" si="59"/>
        <v>213.92768095078409</v>
      </c>
      <c r="U174" s="311">
        <f t="shared" ca="1" si="60"/>
        <v>0</v>
      </c>
      <c r="V174" s="306">
        <f t="shared" ca="1" si="61"/>
        <v>1.2138751079108563</v>
      </c>
      <c r="W174" s="304">
        <f t="shared" ca="1" si="62"/>
        <v>98.956715714312921</v>
      </c>
      <c r="Y174" s="314" t="str">
        <f t="shared" ca="1" si="80"/>
        <v/>
      </c>
      <c r="Z174" s="315" t="str">
        <f t="shared" ca="1" si="81"/>
        <v/>
      </c>
      <c r="AA174" s="316" t="str">
        <f t="shared" ca="1" si="82"/>
        <v/>
      </c>
      <c r="AC174" s="310" t="e">
        <f t="shared" ca="1" si="83"/>
        <v>#N/A</v>
      </c>
      <c r="AD174" s="323" t="e">
        <f t="shared" ca="1" si="84"/>
        <v>#N/A</v>
      </c>
      <c r="AE174" s="324">
        <f t="shared" ca="1" si="63"/>
        <v>91.229698913722814</v>
      </c>
      <c r="AG174" s="306">
        <f t="shared" ca="1" si="85"/>
        <v>76.763162990620103</v>
      </c>
      <c r="AH174" s="304">
        <f t="shared" ca="1" si="86"/>
        <v>86.058676993027944</v>
      </c>
    </row>
    <row r="175" spans="1:34" x14ac:dyDescent="0.2">
      <c r="A175" s="347">
        <f t="shared" ca="1" si="64"/>
        <v>0.01</v>
      </c>
      <c r="B175" s="304">
        <f t="shared" ca="1" si="65"/>
        <v>1.7100000000000013</v>
      </c>
      <c r="D175" s="306">
        <f t="shared" ca="1" si="66"/>
        <v>27.544761687407416</v>
      </c>
      <c r="E175" s="307">
        <f t="shared" ca="1" si="67"/>
        <v>71.785499540931013</v>
      </c>
      <c r="F175" s="304">
        <f t="shared" ca="1" si="68"/>
        <v>76.888697743927708</v>
      </c>
      <c r="G175" s="306">
        <f t="shared" ca="1" si="69"/>
        <v>38.098856580879961</v>
      </c>
      <c r="H175" s="307">
        <f t="shared" ca="1" si="70"/>
        <v>112.76166150145396</v>
      </c>
      <c r="I175" s="304">
        <f t="shared" ca="1" si="71"/>
        <v>119.02401092779114</v>
      </c>
      <c r="J175" s="306">
        <f t="shared" ca="1" si="72"/>
        <v>29.160168962809376</v>
      </c>
      <c r="K175" s="307">
        <f t="shared" ca="1" si="73"/>
        <v>92.3537262537603</v>
      </c>
      <c r="L175" s="304">
        <f t="shared" ca="1" si="58"/>
        <v>96.847954066640384</v>
      </c>
      <c r="M175" s="306">
        <f t="shared" ca="1" si="74"/>
        <v>1.2449677553183272</v>
      </c>
      <c r="N175" s="304">
        <f t="shared" ca="1" si="75"/>
        <v>71.331398009615896</v>
      </c>
      <c r="P175" s="310">
        <f t="shared" ca="1" si="76"/>
        <v>8</v>
      </c>
      <c r="Q175" s="304">
        <f t="shared" ca="1" si="77"/>
        <v>1975.9465343511454</v>
      </c>
      <c r="R175" s="306">
        <f t="shared" ca="1" si="78"/>
        <v>1.1882831413454686</v>
      </c>
      <c r="S175" s="307">
        <f t="shared" ca="1" si="79"/>
        <v>21.795220221673606</v>
      </c>
      <c r="T175" s="304">
        <f t="shared" ca="1" si="59"/>
        <v>213.8111103746181</v>
      </c>
      <c r="U175" s="311">
        <f t="shared" ca="1" si="60"/>
        <v>0</v>
      </c>
      <c r="V175" s="306">
        <f t="shared" ca="1" si="61"/>
        <v>1.2137386698241301</v>
      </c>
      <c r="W175" s="304">
        <f t="shared" ca="1" si="62"/>
        <v>100.23537266150605</v>
      </c>
      <c r="Y175" s="314" t="str">
        <f t="shared" ca="1" si="80"/>
        <v/>
      </c>
      <c r="Z175" s="315" t="str">
        <f t="shared" ca="1" si="81"/>
        <v/>
      </c>
      <c r="AA175" s="316" t="str">
        <f t="shared" ca="1" si="82"/>
        <v/>
      </c>
      <c r="AC175" s="310" t="e">
        <f t="shared" ca="1" si="83"/>
        <v>#N/A</v>
      </c>
      <c r="AD175" s="323" t="e">
        <f t="shared" ca="1" si="84"/>
        <v>#N/A</v>
      </c>
      <c r="AE175" s="324">
        <f t="shared" ca="1" si="63"/>
        <v>92.3537262537603</v>
      </c>
      <c r="AG175" s="306">
        <f t="shared" ca="1" si="85"/>
        <v>76.824650099583025</v>
      </c>
      <c r="AH175" s="304">
        <f t="shared" ca="1" si="86"/>
        <v>86.119332566794441</v>
      </c>
    </row>
    <row r="176" spans="1:34" x14ac:dyDescent="0.2">
      <c r="A176" s="347">
        <f t="shared" ca="1" si="64"/>
        <v>0.01</v>
      </c>
      <c r="B176" s="304">
        <f t="shared" ca="1" si="65"/>
        <v>1.7200000000000013</v>
      </c>
      <c r="D176" s="306">
        <f t="shared" ca="1" si="66"/>
        <v>27.585586763020594</v>
      </c>
      <c r="E176" s="307">
        <f t="shared" ca="1" si="67"/>
        <v>71.835405559278115</v>
      </c>
      <c r="F176" s="304">
        <f t="shared" ca="1" si="68"/>
        <v>76.949919356202713</v>
      </c>
      <c r="G176" s="306">
        <f t="shared" ca="1" si="69"/>
        <v>38.374712448510166</v>
      </c>
      <c r="H176" s="307">
        <f t="shared" ca="1" si="70"/>
        <v>113.48001555704674</v>
      </c>
      <c r="I176" s="304">
        <f t="shared" ca="1" si="71"/>
        <v>119.79287327021342</v>
      </c>
      <c r="J176" s="306">
        <f t="shared" ca="1" si="72"/>
        <v>29.542536807956328</v>
      </c>
      <c r="K176" s="307">
        <f t="shared" ca="1" si="73"/>
        <v>93.48493463905281</v>
      </c>
      <c r="L176" s="304">
        <f t="shared" ca="1" si="58"/>
        <v>98.041799685223182</v>
      </c>
      <c r="M176" s="306">
        <f t="shared" ca="1" si="74"/>
        <v>1.2447056261248559</v>
      </c>
      <c r="N176" s="304">
        <f t="shared" ca="1" si="75"/>
        <v>71.31637911314283</v>
      </c>
      <c r="P176" s="310">
        <f t="shared" ca="1" si="76"/>
        <v>8</v>
      </c>
      <c r="Q176" s="304">
        <f t="shared" ca="1" si="77"/>
        <v>1977.5155547073796</v>
      </c>
      <c r="R176" s="306">
        <f t="shared" ca="1" si="78"/>
        <v>1.1892267096077309</v>
      </c>
      <c r="S176" s="307">
        <f t="shared" ca="1" si="79"/>
        <v>21.78332795457753</v>
      </c>
      <c r="T176" s="304">
        <f t="shared" ca="1" si="59"/>
        <v>213.69444723440557</v>
      </c>
      <c r="U176" s="311">
        <f t="shared" ca="1" si="60"/>
        <v>0</v>
      </c>
      <c r="V176" s="306">
        <f t="shared" ca="1" si="61"/>
        <v>1.2136013754900805</v>
      </c>
      <c r="W176" s="304">
        <f t="shared" ca="1" si="62"/>
        <v>101.52305584047859</v>
      </c>
      <c r="Y176" s="314" t="str">
        <f t="shared" ca="1" si="80"/>
        <v/>
      </c>
      <c r="Z176" s="315" t="str">
        <f t="shared" ca="1" si="81"/>
        <v/>
      </c>
      <c r="AA176" s="316" t="str">
        <f t="shared" ca="1" si="82"/>
        <v/>
      </c>
      <c r="AC176" s="310" t="e">
        <f t="shared" ca="1" si="83"/>
        <v>#N/A</v>
      </c>
      <c r="AD176" s="323" t="e">
        <f t="shared" ca="1" si="84"/>
        <v>#N/A</v>
      </c>
      <c r="AE176" s="324">
        <f t="shared" ca="1" si="63"/>
        <v>93.48493463905281</v>
      </c>
      <c r="AG176" s="306">
        <f t="shared" ca="1" si="85"/>
        <v>76.885822683547133</v>
      </c>
      <c r="AH176" s="304">
        <f t="shared" ca="1" si="86"/>
        <v>86.179677685630381</v>
      </c>
    </row>
    <row r="177" spans="1:34" x14ac:dyDescent="0.2">
      <c r="A177" s="347">
        <f t="shared" ca="1" si="64"/>
        <v>0.01</v>
      </c>
      <c r="B177" s="304">
        <f t="shared" ca="1" si="65"/>
        <v>1.7300000000000013</v>
      </c>
      <c r="D177" s="306">
        <f t="shared" ca="1" si="66"/>
        <v>27.626218828243065</v>
      </c>
      <c r="E177" s="307">
        <f t="shared" ca="1" si="67"/>
        <v>71.885041926838284</v>
      </c>
      <c r="F177" s="304">
        <f t="shared" ca="1" si="68"/>
        <v>77.010825340138183</v>
      </c>
      <c r="G177" s="306">
        <f t="shared" ca="1" si="69"/>
        <v>38.650974636792597</v>
      </c>
      <c r="H177" s="307">
        <f t="shared" ca="1" si="70"/>
        <v>114.19886597631512</v>
      </c>
      <c r="I177" s="304">
        <f t="shared" ca="1" si="71"/>
        <v>120.56234416537515</v>
      </c>
      <c r="J177" s="306">
        <f t="shared" ca="1" si="72"/>
        <v>29.92766524338284</v>
      </c>
      <c r="K177" s="307">
        <f t="shared" ca="1" si="73"/>
        <v>94.623329046719618</v>
      </c>
      <c r="L177" s="304">
        <f t="shared" ca="1" si="58"/>
        <v>99.243335024593762</v>
      </c>
      <c r="M177" s="306">
        <f t="shared" ca="1" si="74"/>
        <v>1.244444967871271</v>
      </c>
      <c r="N177" s="304">
        <f t="shared" ca="1" si="75"/>
        <v>71.301444495317156</v>
      </c>
      <c r="P177" s="310">
        <f t="shared" ca="1" si="76"/>
        <v>8</v>
      </c>
      <c r="Q177" s="304">
        <f t="shared" ca="1" si="77"/>
        <v>1979.0845750636136</v>
      </c>
      <c r="R177" s="306">
        <f t="shared" ca="1" si="78"/>
        <v>1.190170277869993</v>
      </c>
      <c r="S177" s="307">
        <f t="shared" ca="1" si="79"/>
        <v>21.771426251798829</v>
      </c>
      <c r="T177" s="304">
        <f t="shared" ca="1" si="59"/>
        <v>213.57769153014652</v>
      </c>
      <c r="U177" s="311">
        <f t="shared" ca="1" si="60"/>
        <v>0</v>
      </c>
      <c r="V177" s="306">
        <f t="shared" ca="1" si="61"/>
        <v>1.2134632245965338</v>
      </c>
      <c r="W177" s="304">
        <f t="shared" ca="1" si="62"/>
        <v>102.81977387278764</v>
      </c>
      <c r="Y177" s="314" t="str">
        <f t="shared" ca="1" si="80"/>
        <v/>
      </c>
      <c r="Z177" s="315" t="str">
        <f t="shared" ca="1" si="81"/>
        <v/>
      </c>
      <c r="AA177" s="316" t="str">
        <f t="shared" ca="1" si="82"/>
        <v/>
      </c>
      <c r="AC177" s="310" t="e">
        <f t="shared" ca="1" si="83"/>
        <v>#N/A</v>
      </c>
      <c r="AD177" s="323" t="e">
        <f t="shared" ca="1" si="84"/>
        <v>#N/A</v>
      </c>
      <c r="AE177" s="324">
        <f t="shared" ca="1" si="63"/>
        <v>94.623329046719618</v>
      </c>
      <c r="AG177" s="306">
        <f t="shared" ca="1" si="85"/>
        <v>76.946679949465647</v>
      </c>
      <c r="AH177" s="304">
        <f t="shared" ca="1" si="86"/>
        <v>86.239711514903831</v>
      </c>
    </row>
    <row r="178" spans="1:34" x14ac:dyDescent="0.2">
      <c r="A178" s="347">
        <f t="shared" ca="1" si="64"/>
        <v>0.01</v>
      </c>
      <c r="B178" s="304">
        <f t="shared" ca="1" si="65"/>
        <v>1.7400000000000013</v>
      </c>
      <c r="D178" s="306">
        <f t="shared" ca="1" si="66"/>
        <v>27.666658506578916</v>
      </c>
      <c r="E178" s="307">
        <f t="shared" ca="1" si="67"/>
        <v>71.934407650659736</v>
      </c>
      <c r="F178" s="304">
        <f t="shared" ca="1" si="68"/>
        <v>77.071414914810987</v>
      </c>
      <c r="G178" s="306">
        <f t="shared" ca="1" si="69"/>
        <v>38.927641221858387</v>
      </c>
      <c r="H178" s="307">
        <f t="shared" ca="1" si="70"/>
        <v>114.91821005282172</v>
      </c>
      <c r="I178" s="304">
        <f t="shared" ca="1" si="71"/>
        <v>121.33242045241735</v>
      </c>
      <c r="J178" s="306">
        <f t="shared" ca="1" si="72"/>
        <v>30.315558322676097</v>
      </c>
      <c r="K178" s="307">
        <f t="shared" ca="1" si="73"/>
        <v>95.768914426865308</v>
      </c>
      <c r="L178" s="304">
        <f t="shared" ca="1" si="58"/>
        <v>100.45256615396057</v>
      </c>
      <c r="M178" s="306">
        <f t="shared" ca="1" si="74"/>
        <v>1.2441857643381737</v>
      </c>
      <c r="N178" s="304">
        <f t="shared" ca="1" si="75"/>
        <v>71.286593226835805</v>
      </c>
      <c r="P178" s="310">
        <f t="shared" ca="1" si="76"/>
        <v>8</v>
      </c>
      <c r="Q178" s="304">
        <f t="shared" ca="1" si="77"/>
        <v>1980.6535954198478</v>
      </c>
      <c r="R178" s="306">
        <f t="shared" ca="1" si="78"/>
        <v>1.1911138461322555</v>
      </c>
      <c r="S178" s="307">
        <f t="shared" ca="1" si="79"/>
        <v>21.759515113337507</v>
      </c>
      <c r="T178" s="304">
        <f t="shared" ca="1" si="59"/>
        <v>213.46084326184095</v>
      </c>
      <c r="U178" s="311">
        <f t="shared" ca="1" si="60"/>
        <v>0</v>
      </c>
      <c r="V178" s="306">
        <f t="shared" ca="1" si="61"/>
        <v>1.2133242168366409</v>
      </c>
      <c r="W178" s="304">
        <f t="shared" ca="1" si="62"/>
        <v>104.12553519762881</v>
      </c>
      <c r="Y178" s="314" t="str">
        <f t="shared" ca="1" si="80"/>
        <v/>
      </c>
      <c r="Z178" s="315" t="str">
        <f t="shared" ca="1" si="81"/>
        <v/>
      </c>
      <c r="AA178" s="316" t="str">
        <f t="shared" ca="1" si="82"/>
        <v/>
      </c>
      <c r="AC178" s="310" t="e">
        <f t="shared" ca="1" si="83"/>
        <v>#N/A</v>
      </c>
      <c r="AD178" s="323" t="e">
        <f t="shared" ca="1" si="84"/>
        <v>#N/A</v>
      </c>
      <c r="AE178" s="324">
        <f t="shared" ca="1" si="63"/>
        <v>95.768914426865308</v>
      </c>
      <c r="AG178" s="306">
        <f t="shared" ca="1" si="85"/>
        <v>77.007221109360742</v>
      </c>
      <c r="AH178" s="304">
        <f t="shared" ca="1" si="86"/>
        <v>86.299433225699076</v>
      </c>
    </row>
    <row r="179" spans="1:34" x14ac:dyDescent="0.2">
      <c r="A179" s="347">
        <f t="shared" ca="1" si="64"/>
        <v>0.01</v>
      </c>
      <c r="B179" s="304">
        <f t="shared" ca="1" si="65"/>
        <v>1.7500000000000013</v>
      </c>
      <c r="D179" s="306">
        <f t="shared" ca="1" si="66"/>
        <v>27.706906406184796</v>
      </c>
      <c r="E179" s="307">
        <f t="shared" ca="1" si="67"/>
        <v>71.983501747337868</v>
      </c>
      <c r="F179" s="304">
        <f t="shared" ca="1" si="68"/>
        <v>77.131687304311441</v>
      </c>
      <c r="G179" s="306">
        <f t="shared" ca="1" si="69"/>
        <v>39.204710285920235</v>
      </c>
      <c r="H179" s="307">
        <f t="shared" ca="1" si="70"/>
        <v>115.63804507029509</v>
      </c>
      <c r="I179" s="304">
        <f t="shared" ca="1" si="71"/>
        <v>122.10309896264934</v>
      </c>
      <c r="J179" s="306">
        <f t="shared" ca="1" si="72"/>
        <v>30.70622008021499</v>
      </c>
      <c r="K179" s="307">
        <f t="shared" ca="1" si="73"/>
        <v>96.921695702480889</v>
      </c>
      <c r="L179" s="304">
        <f t="shared" ca="1" si="58"/>
        <v>101.66949911088822</v>
      </c>
      <c r="M179" s="306">
        <f t="shared" ca="1" si="74"/>
        <v>1.24392799957209</v>
      </c>
      <c r="N179" s="304">
        <f t="shared" ca="1" si="75"/>
        <v>71.271824393632031</v>
      </c>
      <c r="P179" s="310">
        <f t="shared" ca="1" si="76"/>
        <v>8</v>
      </c>
      <c r="Q179" s="304">
        <f t="shared" ca="1" si="77"/>
        <v>1982.2226157760817</v>
      </c>
      <c r="R179" s="306">
        <f t="shared" ca="1" si="78"/>
        <v>1.1920574143945175</v>
      </c>
      <c r="S179" s="307">
        <f t="shared" ca="1" si="79"/>
        <v>21.74759453919356</v>
      </c>
      <c r="T179" s="304">
        <f t="shared" ca="1" si="59"/>
        <v>213.34390242948885</v>
      </c>
      <c r="U179" s="311">
        <f t="shared" ca="1" si="60"/>
        <v>0</v>
      </c>
      <c r="V179" s="306">
        <f t="shared" ca="1" si="61"/>
        <v>1.213184351908887</v>
      </c>
      <c r="W179" s="304">
        <f t="shared" ca="1" si="62"/>
        <v>105.44034807120497</v>
      </c>
      <c r="Y179" s="314" t="str">
        <f t="shared" ca="1" si="80"/>
        <v/>
      </c>
      <c r="Z179" s="315" t="str">
        <f t="shared" ca="1" si="81"/>
        <v/>
      </c>
      <c r="AA179" s="316" t="str">
        <f t="shared" ca="1" si="82"/>
        <v/>
      </c>
      <c r="AC179" s="310" t="e">
        <f t="shared" ca="1" si="83"/>
        <v>#N/A</v>
      </c>
      <c r="AD179" s="323" t="e">
        <f t="shared" ca="1" si="84"/>
        <v>#N/A</v>
      </c>
      <c r="AE179" s="324">
        <f t="shared" ca="1" si="63"/>
        <v>96.921695702480889</v>
      </c>
      <c r="AG179" s="306">
        <f t="shared" ca="1" si="85"/>
        <v>77.067445380378587</v>
      </c>
      <c r="AH179" s="304">
        <f t="shared" ca="1" si="86"/>
        <v>86.358841994857983</v>
      </c>
    </row>
    <row r="180" spans="1:34" x14ac:dyDescent="0.2">
      <c r="A180" s="347">
        <f t="shared" ca="1" si="64"/>
        <v>0.01</v>
      </c>
      <c r="B180" s="304">
        <f t="shared" ca="1" si="65"/>
        <v>1.7600000000000013</v>
      </c>
      <c r="D180" s="306">
        <f t="shared" ca="1" si="66"/>
        <v>27.746963120281904</v>
      </c>
      <c r="E180" s="307">
        <f t="shared" ca="1" si="67"/>
        <v>72.032323242962335</v>
      </c>
      <c r="F180" s="304">
        <f t="shared" ca="1" si="68"/>
        <v>77.191641737800182</v>
      </c>
      <c r="G180" s="306">
        <f t="shared" ca="1" si="69"/>
        <v>39.482179917123055</v>
      </c>
      <c r="H180" s="307">
        <f t="shared" ca="1" si="70"/>
        <v>116.35836830272471</v>
      </c>
      <c r="I180" s="304">
        <f t="shared" ca="1" si="71"/>
        <v>122.87437651960073</v>
      </c>
      <c r="J180" s="306">
        <f t="shared" ca="1" si="72"/>
        <v>31.099654531230208</v>
      </c>
      <c r="K180" s="307">
        <f t="shared" ca="1" si="73"/>
        <v>98.081677769345987</v>
      </c>
      <c r="L180" s="304">
        <f t="shared" ca="1" si="58"/>
        <v>102.89413990121929</v>
      </c>
      <c r="M180" s="306">
        <f t="shared" ca="1" si="74"/>
        <v>1.2436716578796096</v>
      </c>
      <c r="N180" s="304">
        <f t="shared" ca="1" si="75"/>
        <v>71.257137096539665</v>
      </c>
      <c r="P180" s="310">
        <f t="shared" ca="1" si="76"/>
        <v>8</v>
      </c>
      <c r="Q180" s="304">
        <f t="shared" ca="1" si="77"/>
        <v>1983.7916361323159</v>
      </c>
      <c r="R180" s="306">
        <f t="shared" ca="1" si="78"/>
        <v>1.1930009826567798</v>
      </c>
      <c r="S180" s="307">
        <f t="shared" ca="1" si="79"/>
        <v>21.735664529366993</v>
      </c>
      <c r="T180" s="304">
        <f t="shared" ca="1" si="59"/>
        <v>213.2268690330902</v>
      </c>
      <c r="U180" s="311">
        <f t="shared" ca="1" si="60"/>
        <v>0</v>
      </c>
      <c r="V180" s="306">
        <f t="shared" ca="1" si="61"/>
        <v>1.2130436295171048</v>
      </c>
      <c r="W180" s="304">
        <f t="shared" ca="1" si="62"/>
        <v>106.76422056610292</v>
      </c>
      <c r="Y180" s="314" t="str">
        <f t="shared" ca="1" si="80"/>
        <v/>
      </c>
      <c r="Z180" s="315" t="str">
        <f t="shared" ca="1" si="81"/>
        <v/>
      </c>
      <c r="AA180" s="316" t="str">
        <f t="shared" ca="1" si="82"/>
        <v/>
      </c>
      <c r="AC180" s="310" t="e">
        <f t="shared" ca="1" si="83"/>
        <v>#N/A</v>
      </c>
      <c r="AD180" s="323" t="e">
        <f t="shared" ca="1" si="84"/>
        <v>#N/A</v>
      </c>
      <c r="AE180" s="324">
        <f t="shared" ca="1" si="63"/>
        <v>98.081677769345987</v>
      </c>
      <c r="AG180" s="306">
        <f t="shared" ca="1" si="85"/>
        <v>77.127351984844111</v>
      </c>
      <c r="AH180" s="304">
        <f t="shared" ca="1" si="86"/>
        <v>86.41793700502123</v>
      </c>
    </row>
    <row r="181" spans="1:34" x14ac:dyDescent="0.2">
      <c r="A181" s="347">
        <f t="shared" ca="1" si="64"/>
        <v>0.01</v>
      </c>
      <c r="B181" s="304">
        <f t="shared" ca="1" si="65"/>
        <v>1.7700000000000014</v>
      </c>
      <c r="D181" s="306">
        <f t="shared" ca="1" si="66"/>
        <v>27.786829227556705</v>
      </c>
      <c r="E181" s="307">
        <f t="shared" ca="1" si="67"/>
        <v>72.080871173066527</v>
      </c>
      <c r="F181" s="304">
        <f t="shared" ca="1" si="68"/>
        <v>77.251277449564625</v>
      </c>
      <c r="G181" s="306">
        <f t="shared" ca="1" si="69"/>
        <v>39.760048209398619</v>
      </c>
      <c r="H181" s="307">
        <f t="shared" ca="1" si="70"/>
        <v>117.07917701445538</v>
      </c>
      <c r="I181" s="304">
        <f t="shared" ca="1" si="71"/>
        <v>123.64624993907368</v>
      </c>
      <c r="J181" s="306">
        <f t="shared" ca="1" si="72"/>
        <v>31.495865671862816</v>
      </c>
      <c r="K181" s="307">
        <f t="shared" ca="1" si="73"/>
        <v>99.248865495931881</v>
      </c>
      <c r="L181" s="304">
        <f t="shared" ca="1" si="58"/>
        <v>104.12649449899676</v>
      </c>
      <c r="M181" s="306">
        <f t="shared" ca="1" si="74"/>
        <v>1.2434167238216882</v>
      </c>
      <c r="N181" s="304">
        <f t="shared" ca="1" si="75"/>
        <v>71.242530450966626</v>
      </c>
      <c r="P181" s="310">
        <f t="shared" ca="1" si="76"/>
        <v>8</v>
      </c>
      <c r="Q181" s="304">
        <f t="shared" ca="1" si="77"/>
        <v>1985.3606564885499</v>
      </c>
      <c r="R181" s="306">
        <f t="shared" ca="1" si="78"/>
        <v>1.1939445509190421</v>
      </c>
      <c r="S181" s="307">
        <f t="shared" ca="1" si="79"/>
        <v>21.723725083857801</v>
      </c>
      <c r="T181" s="304">
        <f t="shared" ca="1" si="59"/>
        <v>213.10974307264505</v>
      </c>
      <c r="U181" s="311">
        <f t="shared" ca="1" si="60"/>
        <v>0</v>
      </c>
      <c r="V181" s="306">
        <f t="shared" ca="1" si="61"/>
        <v>1.212902049370489</v>
      </c>
      <c r="W181" s="304">
        <f t="shared" ca="1" si="62"/>
        <v>108.09716057067686</v>
      </c>
      <c r="Y181" s="314" t="str">
        <f t="shared" ca="1" si="80"/>
        <v/>
      </c>
      <c r="Z181" s="315" t="str">
        <f t="shared" ca="1" si="81"/>
        <v/>
      </c>
      <c r="AA181" s="316" t="str">
        <f t="shared" ca="1" si="82"/>
        <v/>
      </c>
      <c r="AC181" s="310" t="e">
        <f t="shared" ca="1" si="83"/>
        <v>#N/A</v>
      </c>
      <c r="AD181" s="323" t="e">
        <f t="shared" ca="1" si="84"/>
        <v>#N/A</v>
      </c>
      <c r="AE181" s="324">
        <f t="shared" ca="1" si="63"/>
        <v>99.248865495931881</v>
      </c>
      <c r="AG181" s="306">
        <f t="shared" ca="1" si="85"/>
        <v>77.186940150315039</v>
      </c>
      <c r="AH181" s="304">
        <f t="shared" ca="1" si="86"/>
        <v>86.476717444669347</v>
      </c>
    </row>
    <row r="182" spans="1:34" x14ac:dyDescent="0.2">
      <c r="A182" s="347">
        <f t="shared" ca="1" si="64"/>
        <v>0.01</v>
      </c>
      <c r="B182" s="304">
        <f t="shared" ca="1" si="65"/>
        <v>1.7800000000000014</v>
      </c>
      <c r="D182" s="306">
        <f t="shared" ca="1" si="66"/>
        <v>27.826505292550841</v>
      </c>
      <c r="E182" s="307">
        <f t="shared" ca="1" si="67"/>
        <v>72.129144582579372</v>
      </c>
      <c r="F182" s="304">
        <f t="shared" ca="1" si="68"/>
        <v>77.310593679074799</v>
      </c>
      <c r="G182" s="306">
        <f t="shared" ca="1" si="69"/>
        <v>40.038313262324124</v>
      </c>
      <c r="H182" s="307">
        <f t="shared" ca="1" si="70"/>
        <v>117.80046846028118</v>
      </c>
      <c r="I182" s="304">
        <f t="shared" ca="1" si="71"/>
        <v>124.41871602919595</v>
      </c>
      <c r="J182" s="306">
        <f t="shared" ca="1" si="72"/>
        <v>31.894857479221429</v>
      </c>
      <c r="K182" s="307">
        <f t="shared" ca="1" si="73"/>
        <v>100.42326372330557</v>
      </c>
      <c r="L182" s="304">
        <f t="shared" ca="1" si="58"/>
        <v>105.36656884638707</v>
      </c>
      <c r="M182" s="306">
        <f t="shared" ca="1" si="74"/>
        <v>1.2431631822081057</v>
      </c>
      <c r="N182" s="304">
        <f t="shared" ca="1" si="75"/>
        <v>71.228003586577415</v>
      </c>
      <c r="P182" s="310">
        <f t="shared" ca="1" si="76"/>
        <v>8</v>
      </c>
      <c r="Q182" s="304">
        <f t="shared" ca="1" si="77"/>
        <v>1986.9296768447841</v>
      </c>
      <c r="R182" s="306">
        <f t="shared" ca="1" si="78"/>
        <v>1.1948881191813043</v>
      </c>
      <c r="S182" s="307">
        <f t="shared" ca="1" si="79"/>
        <v>21.711776202665988</v>
      </c>
      <c r="T182" s="304">
        <f t="shared" ca="1" si="59"/>
        <v>212.99252454815334</v>
      </c>
      <c r="U182" s="311">
        <f t="shared" ca="1" si="60"/>
        <v>0</v>
      </c>
      <c r="V182" s="306">
        <f t="shared" ca="1" si="61"/>
        <v>1.2127596111836041</v>
      </c>
      <c r="W182" s="304">
        <f t="shared" ca="1" si="62"/>
        <v>109.43917578843907</v>
      </c>
      <c r="Y182" s="314" t="str">
        <f t="shared" ca="1" si="80"/>
        <v/>
      </c>
      <c r="Z182" s="315" t="str">
        <f t="shared" ca="1" si="81"/>
        <v/>
      </c>
      <c r="AA182" s="316" t="str">
        <f t="shared" ca="1" si="82"/>
        <v/>
      </c>
      <c r="AC182" s="310" t="e">
        <f t="shared" ca="1" si="83"/>
        <v>#N/A</v>
      </c>
      <c r="AD182" s="323" t="e">
        <f t="shared" ca="1" si="84"/>
        <v>#N/A</v>
      </c>
      <c r="AE182" s="324">
        <f t="shared" ca="1" si="63"/>
        <v>100.42326372330557</v>
      </c>
      <c r="AG182" s="306">
        <f t="shared" ca="1" si="85"/>
        <v>77.246209109635672</v>
      </c>
      <c r="AH182" s="304">
        <f t="shared" ca="1" si="86"/>
        <v>86.535182508163729</v>
      </c>
    </row>
    <row r="183" spans="1:34" x14ac:dyDescent="0.2">
      <c r="A183" s="347">
        <f t="shared" ca="1" si="64"/>
        <v>0.01</v>
      </c>
      <c r="B183" s="304">
        <f t="shared" ca="1" si="65"/>
        <v>1.7900000000000014</v>
      </c>
      <c r="D183" s="306">
        <f t="shared" ca="1" si="66"/>
        <v>27.865991866040485</v>
      </c>
      <c r="E183" s="307">
        <f t="shared" ca="1" si="67"/>
        <v>72.177142525778976</v>
      </c>
      <c r="F183" s="304">
        <f t="shared" ca="1" si="68"/>
        <v>77.369589671038369</v>
      </c>
      <c r="G183" s="306">
        <f t="shared" ca="1" si="69"/>
        <v>40.316973180984526</v>
      </c>
      <c r="H183" s="307">
        <f t="shared" ca="1" si="70"/>
        <v>118.52223988553897</v>
      </c>
      <c r="I183" s="304">
        <f t="shared" ca="1" si="71"/>
        <v>125.19177159047423</v>
      </c>
      <c r="J183" s="306">
        <f t="shared" ca="1" si="72"/>
        <v>32.296633911437972</v>
      </c>
      <c r="K183" s="307">
        <f t="shared" ca="1" si="73"/>
        <v>101.60487726503467</v>
      </c>
      <c r="L183" s="304">
        <f t="shared" ca="1" si="58"/>
        <v>106.61436885360342</v>
      </c>
      <c r="M183" s="306">
        <f t="shared" ca="1" si="74"/>
        <v>1.2429110180920753</v>
      </c>
      <c r="N183" s="304">
        <f t="shared" ca="1" si="75"/>
        <v>71.213555646984219</v>
      </c>
      <c r="P183" s="310">
        <f t="shared" ca="1" si="76"/>
        <v>8</v>
      </c>
      <c r="Q183" s="304">
        <f t="shared" ca="1" si="77"/>
        <v>1988.4986972010181</v>
      </c>
      <c r="R183" s="306">
        <f t="shared" ca="1" si="78"/>
        <v>1.1958316874435666</v>
      </c>
      <c r="S183" s="307">
        <f t="shared" ca="1" si="79"/>
        <v>21.699817885791553</v>
      </c>
      <c r="T183" s="304">
        <f t="shared" ca="1" si="59"/>
        <v>212.87521345961514</v>
      </c>
      <c r="U183" s="311">
        <f t="shared" ca="1" si="60"/>
        <v>0</v>
      </c>
      <c r="V183" s="306">
        <f t="shared" ca="1" si="61"/>
        <v>1.2126163146764029</v>
      </c>
      <c r="W183" s="304">
        <f t="shared" ca="1" si="62"/>
        <v>110.79027373745865</v>
      </c>
      <c r="Y183" s="314" t="str">
        <f t="shared" ca="1" si="80"/>
        <v/>
      </c>
      <c r="Z183" s="315" t="str">
        <f t="shared" ca="1" si="81"/>
        <v/>
      </c>
      <c r="AA183" s="316" t="str">
        <f t="shared" ca="1" si="82"/>
        <v/>
      </c>
      <c r="AC183" s="310" t="e">
        <f t="shared" ca="1" si="83"/>
        <v>#N/A</v>
      </c>
      <c r="AD183" s="323" t="e">
        <f t="shared" ca="1" si="84"/>
        <v>#N/A</v>
      </c>
      <c r="AE183" s="324">
        <f t="shared" ca="1" si="63"/>
        <v>101.60487726503467</v>
      </c>
      <c r="AG183" s="306">
        <f t="shared" ca="1" si="85"/>
        <v>77.305158100989843</v>
      </c>
      <c r="AH183" s="304">
        <f t="shared" ca="1" si="86"/>
        <v>86.593331395787231</v>
      </c>
    </row>
    <row r="184" spans="1:34" x14ac:dyDescent="0.2">
      <c r="A184" s="347">
        <f t="shared" ca="1" si="64"/>
        <v>0.01</v>
      </c>
      <c r="B184" s="304">
        <f t="shared" ca="1" si="65"/>
        <v>1.8000000000000014</v>
      </c>
      <c r="D184" s="306">
        <f t="shared" ca="1" si="66"/>
        <v>27.905289485405735</v>
      </c>
      <c r="E184" s="307">
        <f t="shared" ca="1" si="67"/>
        <v>72.224864066248841</v>
      </c>
      <c r="F184" s="304">
        <f t="shared" ca="1" si="68"/>
        <v>77.428264675455679</v>
      </c>
      <c r="G184" s="306">
        <f t="shared" ca="1" si="69"/>
        <v>40.59602607583858</v>
      </c>
      <c r="H184" s="307">
        <f t="shared" ca="1" si="70"/>
        <v>119.24448852620145</v>
      </c>
      <c r="I184" s="304">
        <f t="shared" ca="1" si="71"/>
        <v>125.96541341584823</v>
      </c>
      <c r="J184" s="306">
        <f t="shared" ca="1" si="72"/>
        <v>32.701198907722087</v>
      </c>
      <c r="K184" s="307">
        <f t="shared" ca="1" si="73"/>
        <v>102.79371090709337</v>
      </c>
      <c r="L184" s="304">
        <f t="shared" ca="1" si="58"/>
        <v>107.86990039882993</v>
      </c>
      <c r="M184" s="306">
        <f t="shared" ca="1" si="74"/>
        <v>1.2426602167650009</v>
      </c>
      <c r="N184" s="304">
        <f t="shared" ca="1" si="75"/>
        <v>71.199185789446574</v>
      </c>
      <c r="P184" s="310">
        <f t="shared" ca="1" si="76"/>
        <v>8</v>
      </c>
      <c r="Q184" s="304">
        <f t="shared" ca="1" si="77"/>
        <v>1990.0677175572523</v>
      </c>
      <c r="R184" s="306">
        <f t="shared" ca="1" si="78"/>
        <v>1.1967752557058289</v>
      </c>
      <c r="S184" s="307">
        <f t="shared" ca="1" si="79"/>
        <v>21.687850133234495</v>
      </c>
      <c r="T184" s="304">
        <f t="shared" ca="1" si="59"/>
        <v>212.75780980703041</v>
      </c>
      <c r="U184" s="311">
        <f t="shared" ca="1" si="60"/>
        <v>0</v>
      </c>
      <c r="V184" s="306">
        <f t="shared" ca="1" si="61"/>
        <v>1.212472159574232</v>
      </c>
      <c r="W184" s="304">
        <f t="shared" ca="1" si="62"/>
        <v>112.15046174976668</v>
      </c>
      <c r="Y184" s="314" t="str">
        <f t="shared" ca="1" si="80"/>
        <v/>
      </c>
      <c r="Z184" s="315" t="str">
        <f t="shared" ca="1" si="81"/>
        <v/>
      </c>
      <c r="AA184" s="316" t="str">
        <f t="shared" ca="1" si="82"/>
        <v/>
      </c>
      <c r="AC184" s="310" t="e">
        <f t="shared" ca="1" si="83"/>
        <v>#N/A</v>
      </c>
      <c r="AD184" s="323" t="e">
        <f t="shared" ca="1" si="84"/>
        <v>#N/A</v>
      </c>
      <c r="AE184" s="324">
        <f t="shared" ca="1" si="63"/>
        <v>102.79371090709337</v>
      </c>
      <c r="AG184" s="306">
        <f t="shared" ca="1" si="85"/>
        <v>77.363786367953679</v>
      </c>
      <c r="AH184" s="304">
        <f t="shared" ca="1" si="86"/>
        <v>86.651163313784892</v>
      </c>
    </row>
    <row r="185" spans="1:34" x14ac:dyDescent="0.2">
      <c r="A185" s="347">
        <f t="shared" ca="1" si="64"/>
        <v>0.01</v>
      </c>
      <c r="B185" s="304">
        <f t="shared" ca="1" si="65"/>
        <v>1.8100000000000014</v>
      </c>
      <c r="D185" s="306">
        <f t="shared" ca="1" si="66"/>
        <v>27.944398674989959</v>
      </c>
      <c r="E185" s="307">
        <f t="shared" ca="1" si="67"/>
        <v>72.272308276835588</v>
      </c>
      <c r="F185" s="304">
        <f t="shared" ca="1" si="68"/>
        <v>77.486617947673636</v>
      </c>
      <c r="G185" s="306">
        <f t="shared" ca="1" si="69"/>
        <v>40.875470062588477</v>
      </c>
      <c r="H185" s="307">
        <f t="shared" ca="1" si="70"/>
        <v>119.96721160896981</v>
      </c>
      <c r="I185" s="304">
        <f t="shared" ca="1" si="71"/>
        <v>126.73963829074512</v>
      </c>
      <c r="J185" s="306">
        <f t="shared" ca="1" si="72"/>
        <v>33.108556388414222</v>
      </c>
      <c r="K185" s="307">
        <f t="shared" ca="1" si="73"/>
        <v>103.98976940776923</v>
      </c>
      <c r="L185" s="304">
        <f t="shared" ca="1" si="58"/>
        <v>109.13316932814615</v>
      </c>
      <c r="M185" s="306">
        <f t="shared" ca="1" si="74"/>
        <v>1.2424107637513737</v>
      </c>
      <c r="N185" s="304">
        <f t="shared" ca="1" si="75"/>
        <v>71.184893184578925</v>
      </c>
      <c r="P185" s="310">
        <f t="shared" ca="1" si="76"/>
        <v>8</v>
      </c>
      <c r="Q185" s="304">
        <f t="shared" ca="1" si="77"/>
        <v>1991.6367379134863</v>
      </c>
      <c r="R185" s="306">
        <f t="shared" ca="1" si="78"/>
        <v>1.1977188239680912</v>
      </c>
      <c r="S185" s="307">
        <f t="shared" ca="1" si="79"/>
        <v>21.675872944994815</v>
      </c>
      <c r="T185" s="304">
        <f t="shared" ca="1" si="59"/>
        <v>212.64031359039913</v>
      </c>
      <c r="U185" s="311">
        <f t="shared" ca="1" si="60"/>
        <v>0</v>
      </c>
      <c r="V185" s="306">
        <f t="shared" ca="1" si="61"/>
        <v>1.212327145607847</v>
      </c>
      <c r="W185" s="304">
        <f t="shared" ca="1" si="62"/>
        <v>113.51974697076967</v>
      </c>
      <c r="Y185" s="314" t="str">
        <f t="shared" ca="1" si="80"/>
        <v/>
      </c>
      <c r="Z185" s="315" t="str">
        <f t="shared" ca="1" si="81"/>
        <v/>
      </c>
      <c r="AA185" s="316" t="str">
        <f t="shared" ca="1" si="82"/>
        <v/>
      </c>
      <c r="AC185" s="310" t="e">
        <f t="shared" ca="1" si="83"/>
        <v>#N/A</v>
      </c>
      <c r="AD185" s="323" t="e">
        <f t="shared" ca="1" si="84"/>
        <v>#N/A</v>
      </c>
      <c r="AE185" s="324">
        <f t="shared" ca="1" si="63"/>
        <v>103.98976940776923</v>
      </c>
      <c r="AG185" s="306">
        <f t="shared" ca="1" si="85"/>
        <v>77.422093159547671</v>
      </c>
      <c r="AH185" s="304">
        <f t="shared" ca="1" si="86"/>
        <v>86.708677474404212</v>
      </c>
    </row>
    <row r="186" spans="1:34" x14ac:dyDescent="0.2">
      <c r="A186" s="347">
        <f t="shared" ca="1" si="64"/>
        <v>0.01</v>
      </c>
      <c r="B186" s="304">
        <f t="shared" ca="1" si="65"/>
        <v>1.8200000000000014</v>
      </c>
      <c r="D186" s="306">
        <f t="shared" ca="1" si="66"/>
        <v>27.983319946449985</v>
      </c>
      <c r="E186" s="307">
        <f t="shared" ca="1" si="67"/>
        <v>72.319474239609008</v>
      </c>
      <c r="F186" s="304">
        <f t="shared" ca="1" si="68"/>
        <v>77.544648748439485</v>
      </c>
      <c r="G186" s="306">
        <f t="shared" ca="1" si="69"/>
        <v>41.155303262052975</v>
      </c>
      <c r="H186" s="307">
        <f t="shared" ca="1" si="70"/>
        <v>120.69040635136589</v>
      </c>
      <c r="I186" s="304">
        <f t="shared" ca="1" si="71"/>
        <v>127.51444299313459</v>
      </c>
      <c r="J186" s="306">
        <f t="shared" ca="1" si="72"/>
        <v>33.518710255037426</v>
      </c>
      <c r="K186" s="307">
        <f t="shared" ca="1" si="73"/>
        <v>105.1930574975709</v>
      </c>
      <c r="L186" s="304">
        <f t="shared" ca="1" si="58"/>
        <v>110.40418145545217</v>
      </c>
      <c r="M186" s="306">
        <f t="shared" ca="1" si="74"/>
        <v>1.2421626448038079</v>
      </c>
      <c r="N186" s="304">
        <f t="shared" ca="1" si="75"/>
        <v>71.170677016066165</v>
      </c>
      <c r="P186" s="310">
        <f t="shared" ca="1" si="76"/>
        <v>8</v>
      </c>
      <c r="Q186" s="304">
        <f t="shared" ca="1" si="77"/>
        <v>1993.2057582697205</v>
      </c>
      <c r="R186" s="306">
        <f t="shared" ca="1" si="78"/>
        <v>1.1986623922303534</v>
      </c>
      <c r="S186" s="307">
        <f t="shared" ca="1" si="79"/>
        <v>21.663886321072511</v>
      </c>
      <c r="T186" s="304">
        <f t="shared" ca="1" si="59"/>
        <v>212.52272480972135</v>
      </c>
      <c r="U186" s="311">
        <f t="shared" ca="1" si="60"/>
        <v>0</v>
      </c>
      <c r="V186" s="306">
        <f t="shared" ca="1" si="61"/>
        <v>1.2121812725134249</v>
      </c>
      <c r="W186" s="304">
        <f t="shared" ca="1" si="62"/>
        <v>114.89813635867047</v>
      </c>
      <c r="Y186" s="314" t="str">
        <f t="shared" ca="1" si="80"/>
        <v/>
      </c>
      <c r="Z186" s="315" t="str">
        <f t="shared" ca="1" si="81"/>
        <v/>
      </c>
      <c r="AA186" s="316" t="str">
        <f t="shared" ca="1" si="82"/>
        <v/>
      </c>
      <c r="AC186" s="310" t="e">
        <f t="shared" ca="1" si="83"/>
        <v>#N/A</v>
      </c>
      <c r="AD186" s="323" t="e">
        <f t="shared" ca="1" si="84"/>
        <v>#N/A</v>
      </c>
      <c r="AE186" s="324">
        <f t="shared" ca="1" si="63"/>
        <v>105.1930574975709</v>
      </c>
      <c r="AG186" s="306">
        <f t="shared" ca="1" si="85"/>
        <v>77.4800777302884</v>
      </c>
      <c r="AH186" s="304">
        <f t="shared" ca="1" si="86"/>
        <v>86.765873095935518</v>
      </c>
    </row>
    <row r="187" spans="1:34" x14ac:dyDescent="0.2">
      <c r="A187" s="347">
        <f t="shared" ca="1" si="64"/>
        <v>0.01</v>
      </c>
      <c r="B187" s="304">
        <f t="shared" ca="1" si="65"/>
        <v>1.8300000000000014</v>
      </c>
      <c r="D187" s="306">
        <f t="shared" ca="1" si="66"/>
        <v>28.022053799096824</v>
      </c>
      <c r="E187" s="307">
        <f t="shared" ca="1" si="67"/>
        <v>72.366361045823737</v>
      </c>
      <c r="F187" s="304">
        <f t="shared" ca="1" si="68"/>
        <v>77.602356343953844</v>
      </c>
      <c r="G187" s="306">
        <f t="shared" ca="1" si="69"/>
        <v>41.435523800043946</v>
      </c>
      <c r="H187" s="307">
        <f t="shared" ca="1" si="70"/>
        <v>121.41406996182413</v>
      </c>
      <c r="I187" s="304">
        <f t="shared" ca="1" si="71"/>
        <v>128.2898242935843</v>
      </c>
      <c r="J187" s="306">
        <f t="shared" ca="1" si="72"/>
        <v>33.931664390347912</v>
      </c>
      <c r="K187" s="307">
        <f t="shared" ca="1" si="73"/>
        <v>106.40357987913686</v>
      </c>
      <c r="L187" s="304">
        <f t="shared" ca="1" si="58"/>
        <v>111.6829425623943</v>
      </c>
      <c r="M187" s="306">
        <f t="shared" ca="1" si="74"/>
        <v>1.2419158458982076</v>
      </c>
      <c r="N187" s="304">
        <f t="shared" ca="1" si="75"/>
        <v>71.156536480386819</v>
      </c>
      <c r="P187" s="310">
        <f t="shared" ca="1" si="76"/>
        <v>8</v>
      </c>
      <c r="Q187" s="304">
        <f t="shared" ca="1" si="77"/>
        <v>1994.7747786259547</v>
      </c>
      <c r="R187" s="306">
        <f t="shared" ca="1" si="78"/>
        <v>1.1996059604926157</v>
      </c>
      <c r="S187" s="307">
        <f t="shared" ca="1" si="79"/>
        <v>21.651890261467585</v>
      </c>
      <c r="T187" s="304">
        <f t="shared" ca="1" si="59"/>
        <v>212.40504346499702</v>
      </c>
      <c r="U187" s="311">
        <f t="shared" ca="1" si="60"/>
        <v>0</v>
      </c>
      <c r="V187" s="306">
        <f t="shared" ca="1" si="61"/>
        <v>1.2120345400325714</v>
      </c>
      <c r="W187" s="304">
        <f t="shared" ca="1" si="62"/>
        <v>116.28563668389609</v>
      </c>
      <c r="Y187" s="314" t="str">
        <f t="shared" ca="1" si="80"/>
        <v/>
      </c>
      <c r="Z187" s="315" t="str">
        <f t="shared" ca="1" si="81"/>
        <v/>
      </c>
      <c r="AA187" s="316" t="str">
        <f t="shared" ca="1" si="82"/>
        <v/>
      </c>
      <c r="AC187" s="310" t="e">
        <f t="shared" ca="1" si="83"/>
        <v>#N/A</v>
      </c>
      <c r="AD187" s="323" t="e">
        <f t="shared" ca="1" si="84"/>
        <v>#N/A</v>
      </c>
      <c r="AE187" s="324">
        <f t="shared" ca="1" si="63"/>
        <v>106.40357987913686</v>
      </c>
      <c r="AG187" s="306">
        <f t="shared" ca="1" si="85"/>
        <v>77.537739340239639</v>
      </c>
      <c r="AH187" s="304">
        <f t="shared" ca="1" si="86"/>
        <v>86.822749402751896</v>
      </c>
    </row>
    <row r="188" spans="1:34" x14ac:dyDescent="0.2">
      <c r="A188" s="347">
        <f t="shared" ca="1" si="64"/>
        <v>0.01</v>
      </c>
      <c r="B188" s="304">
        <f t="shared" ca="1" si="65"/>
        <v>1.8400000000000014</v>
      </c>
      <c r="D188" s="306">
        <f t="shared" ca="1" si="66"/>
        <v>28.060600720227772</v>
      </c>
      <c r="E188" s="307">
        <f t="shared" ca="1" si="67"/>
        <v>72.412967795882793</v>
      </c>
      <c r="F188" s="304">
        <f t="shared" ca="1" si="68"/>
        <v>77.659740005923311</v>
      </c>
      <c r="G188" s="306">
        <f t="shared" ca="1" si="69"/>
        <v>41.716129807246226</v>
      </c>
      <c r="H188" s="307">
        <f t="shared" ca="1" si="70"/>
        <v>122.13819963978295</v>
      </c>
      <c r="I188" s="304">
        <f t="shared" ca="1" si="71"/>
        <v>129.06577895531601</v>
      </c>
      <c r="J188" s="306">
        <f t="shared" ca="1" si="72"/>
        <v>34.34742265838436</v>
      </c>
      <c r="K188" s="307">
        <f t="shared" ca="1" si="73"/>
        <v>107.6213412271449</v>
      </c>
      <c r="L188" s="304">
        <f t="shared" ca="1" si="58"/>
        <v>112.96945839829124</v>
      </c>
      <c r="M188" s="306">
        <f t="shared" ca="1" si="74"/>
        <v>1.2416703532290636</v>
      </c>
      <c r="N188" s="304">
        <f t="shared" ca="1" si="75"/>
        <v>71.14247078654347</v>
      </c>
      <c r="P188" s="310">
        <f t="shared" ca="1" si="76"/>
        <v>8</v>
      </c>
      <c r="Q188" s="304">
        <f t="shared" ca="1" si="77"/>
        <v>1996.3437989821887</v>
      </c>
      <c r="R188" s="306">
        <f t="shared" ca="1" si="78"/>
        <v>1.200549528754878</v>
      </c>
      <c r="S188" s="307">
        <f t="shared" ca="1" si="79"/>
        <v>21.639884766180035</v>
      </c>
      <c r="T188" s="304">
        <f t="shared" ca="1" si="59"/>
        <v>212.28726955622616</v>
      </c>
      <c r="U188" s="311">
        <f t="shared" ca="1" si="60"/>
        <v>0</v>
      </c>
      <c r="V188" s="306">
        <f t="shared" ca="1" si="61"/>
        <v>1.2118869479123375</v>
      </c>
      <c r="W188" s="304">
        <f t="shared" ca="1" si="62"/>
        <v>117.68225452853439</v>
      </c>
      <c r="Y188" s="314" t="str">
        <f t="shared" ca="1" si="80"/>
        <v/>
      </c>
      <c r="Z188" s="315" t="str">
        <f t="shared" ca="1" si="81"/>
        <v/>
      </c>
      <c r="AA188" s="316" t="str">
        <f t="shared" ca="1" si="82"/>
        <v/>
      </c>
      <c r="AC188" s="310" t="e">
        <f t="shared" ca="1" si="83"/>
        <v>#N/A</v>
      </c>
      <c r="AD188" s="323" t="e">
        <f t="shared" ca="1" si="84"/>
        <v>#N/A</v>
      </c>
      <c r="AE188" s="324">
        <f t="shared" ca="1" si="63"/>
        <v>107.6213412271449</v>
      </c>
      <c r="AG188" s="306">
        <f t="shared" ca="1" si="85"/>
        <v>77.595077255063217</v>
      </c>
      <c r="AH188" s="304">
        <f t="shared" ca="1" si="86"/>
        <v>86.879305625349161</v>
      </c>
    </row>
    <row r="189" spans="1:34" x14ac:dyDescent="0.2">
      <c r="A189" s="347">
        <f t="shared" ca="1" si="64"/>
        <v>0.01</v>
      </c>
      <c r="B189" s="304">
        <f t="shared" ca="1" si="65"/>
        <v>1.8500000000000014</v>
      </c>
      <c r="D189" s="306">
        <f t="shared" ca="1" si="66"/>
        <v>28.098961185449721</v>
      </c>
      <c r="E189" s="307">
        <f t="shared" ca="1" si="67"/>
        <v>72.45929359930291</v>
      </c>
      <c r="F189" s="304">
        <f t="shared" ca="1" si="68"/>
        <v>77.716799011612608</v>
      </c>
      <c r="G189" s="306">
        <f t="shared" ca="1" si="69"/>
        <v>41.99711941910072</v>
      </c>
      <c r="H189" s="307">
        <f t="shared" ca="1" si="70"/>
        <v>122.86279257577598</v>
      </c>
      <c r="I189" s="304">
        <f t="shared" ca="1" si="71"/>
        <v>129.84230373426203</v>
      </c>
      <c r="J189" s="306">
        <f t="shared" ca="1" si="72"/>
        <v>34.765988904516092</v>
      </c>
      <c r="K189" s="307">
        <f t="shared" ca="1" si="73"/>
        <v>108.8463461882227</v>
      </c>
      <c r="L189" s="304">
        <f t="shared" ca="1" si="58"/>
        <v>114.26373468006092</v>
      </c>
      <c r="M189" s="306">
        <f t="shared" ca="1" si="74"/>
        <v>1.2414261532048734</v>
      </c>
      <c r="N189" s="304">
        <f t="shared" ca="1" si="75"/>
        <v>71.128479155800377</v>
      </c>
      <c r="P189" s="310">
        <f t="shared" ca="1" si="76"/>
        <v>8</v>
      </c>
      <c r="Q189" s="304">
        <f t="shared" ca="1" si="77"/>
        <v>1997.9128193384229</v>
      </c>
      <c r="R189" s="306">
        <f t="shared" ca="1" si="78"/>
        <v>1.2014930970171402</v>
      </c>
      <c r="S189" s="307">
        <f t="shared" ca="1" si="79"/>
        <v>21.627869835209864</v>
      </c>
      <c r="T189" s="304">
        <f t="shared" ca="1" si="59"/>
        <v>212.16940308340878</v>
      </c>
      <c r="U189" s="311">
        <f t="shared" ca="1" si="60"/>
        <v>0</v>
      </c>
      <c r="V189" s="306">
        <f t="shared" ca="1" si="61"/>
        <v>1.2117384959052264</v>
      </c>
      <c r="W189" s="304">
        <f t="shared" ca="1" si="62"/>
        <v>119.08799628577738</v>
      </c>
      <c r="Y189" s="314" t="str">
        <f t="shared" ca="1" si="80"/>
        <v/>
      </c>
      <c r="Z189" s="315" t="str">
        <f t="shared" ca="1" si="81"/>
        <v/>
      </c>
      <c r="AA189" s="316" t="str">
        <f t="shared" ca="1" si="82"/>
        <v/>
      </c>
      <c r="AC189" s="310" t="e">
        <f t="shared" ca="1" si="83"/>
        <v>#N/A</v>
      </c>
      <c r="AD189" s="323" t="e">
        <f t="shared" ca="1" si="84"/>
        <v>#N/A</v>
      </c>
      <c r="AE189" s="324">
        <f t="shared" ca="1" si="63"/>
        <v>108.8463461882227</v>
      </c>
      <c r="AG189" s="306">
        <f t="shared" ca="1" si="85"/>
        <v>77.652090746069135</v>
      </c>
      <c r="AH189" s="304">
        <f t="shared" ca="1" si="86"/>
        <v>86.935541000385527</v>
      </c>
    </row>
    <row r="190" spans="1:34" x14ac:dyDescent="0.2">
      <c r="A190" s="347">
        <f t="shared" ca="1" si="64"/>
        <v>0.01</v>
      </c>
      <c r="B190" s="304">
        <f t="shared" ca="1" si="65"/>
        <v>1.8600000000000014</v>
      </c>
      <c r="D190" s="306">
        <f t="shared" ca="1" si="66"/>
        <v>28.137135658994307</v>
      </c>
      <c r="E190" s="307">
        <f t="shared" ca="1" si="67"/>
        <v>72.505337574681491</v>
      </c>
      <c r="F190" s="304">
        <f t="shared" ca="1" si="68"/>
        <v>77.773532643896075</v>
      </c>
      <c r="G190" s="306">
        <f t="shared" ca="1" si="69"/>
        <v>42.278490775690663</v>
      </c>
      <c r="H190" s="307">
        <f t="shared" ca="1" si="70"/>
        <v>123.58784595152279</v>
      </c>
      <c r="I190" s="304">
        <f t="shared" ca="1" si="71"/>
        <v>130.61939537912235</v>
      </c>
      <c r="J190" s="306">
        <f t="shared" ca="1" si="72"/>
        <v>35.187366955490049</v>
      </c>
      <c r="K190" s="307">
        <f t="shared" ca="1" si="73"/>
        <v>110.07859938085919</v>
      </c>
      <c r="L190" s="304">
        <f t="shared" ca="1" si="58"/>
        <v>115.56577709214785</v>
      </c>
      <c r="M190" s="306">
        <f t="shared" ca="1" si="74"/>
        <v>1.241183232443682</v>
      </c>
      <c r="N190" s="304">
        <f t="shared" ca="1" si="75"/>
        <v>71.114560821428014</v>
      </c>
      <c r="P190" s="310">
        <f t="shared" ca="1" si="76"/>
        <v>8</v>
      </c>
      <c r="Q190" s="304">
        <f t="shared" ca="1" si="77"/>
        <v>1999.4818396946569</v>
      </c>
      <c r="R190" s="306">
        <f t="shared" ca="1" si="78"/>
        <v>1.2024366652794025</v>
      </c>
      <c r="S190" s="307">
        <f t="shared" ca="1" si="79"/>
        <v>21.615845468557069</v>
      </c>
      <c r="T190" s="304">
        <f t="shared" ca="1" si="59"/>
        <v>212.05144404654484</v>
      </c>
      <c r="U190" s="311">
        <f t="shared" ca="1" si="60"/>
        <v>0</v>
      </c>
      <c r="V190" s="306">
        <f t="shared" ca="1" si="61"/>
        <v>1.2115891837692065</v>
      </c>
      <c r="W190" s="304">
        <f t="shared" ca="1" si="62"/>
        <v>120.50286815937304</v>
      </c>
      <c r="Y190" s="314" t="str">
        <f t="shared" ca="1" si="80"/>
        <v/>
      </c>
      <c r="Z190" s="315" t="str">
        <f t="shared" ca="1" si="81"/>
        <v/>
      </c>
      <c r="AA190" s="316" t="str">
        <f t="shared" ca="1" si="82"/>
        <v/>
      </c>
      <c r="AC190" s="310" t="e">
        <f t="shared" ca="1" si="83"/>
        <v>#N/A</v>
      </c>
      <c r="AD190" s="323" t="e">
        <f t="shared" ca="1" si="84"/>
        <v>#N/A</v>
      </c>
      <c r="AE190" s="324">
        <f t="shared" ca="1" si="63"/>
        <v>110.07859938085919</v>
      </c>
      <c r="AG190" s="306">
        <f t="shared" ca="1" si="85"/>
        <v>77.708779090265537</v>
      </c>
      <c r="AH190" s="304">
        <f t="shared" ca="1" si="86"/>
        <v>86.991454770721134</v>
      </c>
    </row>
    <row r="191" spans="1:34" x14ac:dyDescent="0.2">
      <c r="A191" s="347">
        <f t="shared" ca="1" si="64"/>
        <v>0.01</v>
      </c>
      <c r="B191" s="304">
        <f t="shared" ca="1" si="65"/>
        <v>1.8700000000000014</v>
      </c>
      <c r="D191" s="306">
        <f t="shared" ca="1" si="66"/>
        <v>28.175124594024929</v>
      </c>
      <c r="E191" s="307">
        <f t="shared" ca="1" si="67"/>
        <v>72.551098849665152</v>
      </c>
      <c r="F191" s="304">
        <f t="shared" ca="1" si="68"/>
        <v>77.82994019130885</v>
      </c>
      <c r="G191" s="306">
        <f t="shared" ca="1" si="69"/>
        <v>42.560242021630913</v>
      </c>
      <c r="H191" s="307">
        <f t="shared" ca="1" si="70"/>
        <v>124.31335694001945</v>
      </c>
      <c r="I191" s="304">
        <f t="shared" ca="1" si="71"/>
        <v>131.39705063142202</v>
      </c>
      <c r="J191" s="306">
        <f t="shared" ca="1" si="72"/>
        <v>35.611560619476656</v>
      </c>
      <c r="K191" s="307">
        <f t="shared" ca="1" si="73"/>
        <v>111.31810539531691</v>
      </c>
      <c r="L191" s="304">
        <f t="shared" ca="1" si="58"/>
        <v>116.87559128645101</v>
      </c>
      <c r="M191" s="306">
        <f t="shared" ca="1" si="74"/>
        <v>1.2409415777687387</v>
      </c>
      <c r="N191" s="304">
        <f t="shared" ca="1" si="75"/>
        <v>71.100715028454147</v>
      </c>
      <c r="P191" s="310">
        <f t="shared" ca="1" si="76"/>
        <v>8</v>
      </c>
      <c r="Q191" s="304">
        <f t="shared" ca="1" si="77"/>
        <v>2001.0508600508911</v>
      </c>
      <c r="R191" s="306">
        <f t="shared" ca="1" si="78"/>
        <v>1.2033802335416648</v>
      </c>
      <c r="S191" s="307">
        <f t="shared" ca="1" si="79"/>
        <v>21.603811666221652</v>
      </c>
      <c r="T191" s="304">
        <f t="shared" ca="1" si="59"/>
        <v>211.93339244563441</v>
      </c>
      <c r="U191" s="311">
        <f t="shared" ca="1" si="60"/>
        <v>0</v>
      </c>
      <c r="V191" s="306">
        <f t="shared" ca="1" si="61"/>
        <v>1.211439011267722</v>
      </c>
      <c r="W191" s="304">
        <f t="shared" ca="1" si="62"/>
        <v>121.92687616308449</v>
      </c>
      <c r="Y191" s="314" t="str">
        <f t="shared" ca="1" si="80"/>
        <v/>
      </c>
      <c r="Z191" s="315" t="str">
        <f t="shared" ca="1" si="81"/>
        <v/>
      </c>
      <c r="AA191" s="316" t="str">
        <f t="shared" ca="1" si="82"/>
        <v/>
      </c>
      <c r="AC191" s="310" t="e">
        <f t="shared" ca="1" si="83"/>
        <v>#N/A</v>
      </c>
      <c r="AD191" s="323" t="e">
        <f t="shared" ca="1" si="84"/>
        <v>#N/A</v>
      </c>
      <c r="AE191" s="324">
        <f t="shared" ca="1" si="63"/>
        <v>111.31810539531691</v>
      </c>
      <c r="AG191" s="306">
        <f t="shared" ca="1" si="85"/>
        <v>77.765141570407934</v>
      </c>
      <c r="AH191" s="304">
        <f t="shared" ca="1" si="86"/>
        <v>87.047046185457333</v>
      </c>
    </row>
    <row r="192" spans="1:34" x14ac:dyDescent="0.2">
      <c r="A192" s="347">
        <f t="shared" ca="1" si="64"/>
        <v>0.01</v>
      </c>
      <c r="B192" s="304">
        <f t="shared" ca="1" si="65"/>
        <v>1.8800000000000014</v>
      </c>
      <c r="D192" s="306">
        <f t="shared" ca="1" si="66"/>
        <v>28.212928432936057</v>
      </c>
      <c r="E192" s="307">
        <f t="shared" ca="1" si="67"/>
        <v>72.596576560919786</v>
      </c>
      <c r="F192" s="304">
        <f t="shared" ca="1" si="68"/>
        <v>77.886020948097354</v>
      </c>
      <c r="G192" s="306">
        <f t="shared" ca="1" si="69"/>
        <v>42.84237130596027</v>
      </c>
      <c r="H192" s="307">
        <f t="shared" ca="1" si="70"/>
        <v>125.03932270562865</v>
      </c>
      <c r="I192" s="304">
        <f t="shared" ca="1" si="71"/>
        <v>132.17526622556926</v>
      </c>
      <c r="J192" s="306">
        <f t="shared" ca="1" si="72"/>
        <v>36.03857368611461</v>
      </c>
      <c r="K192" s="307">
        <f t="shared" ca="1" si="73"/>
        <v>112.56486879354514</v>
      </c>
      <c r="L192" s="304">
        <f t="shared" ca="1" si="58"/>
        <v>118.19318288225234</v>
      </c>
      <c r="M192" s="306">
        <f t="shared" ca="1" si="74"/>
        <v>1.2407011762042683</v>
      </c>
      <c r="N192" s="304">
        <f t="shared" ca="1" si="75"/>
        <v>71.086941033421652</v>
      </c>
      <c r="P192" s="310">
        <f t="shared" ca="1" si="76"/>
        <v>8</v>
      </c>
      <c r="Q192" s="304">
        <f t="shared" ca="1" si="77"/>
        <v>2002.619880407125</v>
      </c>
      <c r="R192" s="306">
        <f t="shared" ca="1" si="78"/>
        <v>1.2043238018039268</v>
      </c>
      <c r="S192" s="307">
        <f t="shared" ca="1" si="79"/>
        <v>21.591768428203615</v>
      </c>
      <c r="T192" s="304">
        <f t="shared" ca="1" si="59"/>
        <v>211.81524828067748</v>
      </c>
      <c r="U192" s="311">
        <f t="shared" ca="1" si="60"/>
        <v>0</v>
      </c>
      <c r="V192" s="306">
        <f t="shared" ca="1" si="61"/>
        <v>1.2112879781697017</v>
      </c>
      <c r="W192" s="304">
        <f t="shared" ca="1" si="62"/>
        <v>123.3600261201575</v>
      </c>
      <c r="Y192" s="314" t="str">
        <f t="shared" ca="1" si="80"/>
        <v/>
      </c>
      <c r="Z192" s="315" t="str">
        <f t="shared" ca="1" si="81"/>
        <v/>
      </c>
      <c r="AA192" s="316" t="str">
        <f t="shared" ca="1" si="82"/>
        <v/>
      </c>
      <c r="AC192" s="310" t="e">
        <f t="shared" ca="1" si="83"/>
        <v>#N/A</v>
      </c>
      <c r="AD192" s="323" t="e">
        <f t="shared" ca="1" si="84"/>
        <v>#N/A</v>
      </c>
      <c r="AE192" s="324">
        <f t="shared" ca="1" si="63"/>
        <v>112.56486879354514</v>
      </c>
      <c r="AG192" s="306">
        <f t="shared" ca="1" si="85"/>
        <v>77.82117747504816</v>
      </c>
      <c r="AH192" s="304">
        <f t="shared" ca="1" si="86"/>
        <v>87.102314499975861</v>
      </c>
    </row>
    <row r="193" spans="1:34" x14ac:dyDescent="0.2">
      <c r="A193" s="347">
        <f t="shared" ca="1" si="64"/>
        <v>0.01</v>
      </c>
      <c r="B193" s="304">
        <f t="shared" ca="1" si="65"/>
        <v>1.8900000000000015</v>
      </c>
      <c r="D193" s="306">
        <f t="shared" ca="1" si="66"/>
        <v>28.250547607644862</v>
      </c>
      <c r="E193" s="307">
        <f t="shared" ca="1" si="67"/>
        <v>72.641769854102279</v>
      </c>
      <c r="F193" s="304">
        <f t="shared" ca="1" si="68"/>
        <v>77.941774214269529</v>
      </c>
      <c r="G193" s="306">
        <f t="shared" ca="1" si="69"/>
        <v>43.124876782036722</v>
      </c>
      <c r="H193" s="307">
        <f t="shared" ca="1" si="70"/>
        <v>125.76574040416968</v>
      </c>
      <c r="I193" s="304">
        <f t="shared" ca="1" si="71"/>
        <v>132.95403888891397</v>
      </c>
      <c r="J193" s="306">
        <f t="shared" ca="1" si="72"/>
        <v>36.468409926554592</v>
      </c>
      <c r="K193" s="307">
        <f t="shared" ca="1" si="73"/>
        <v>113.81889410909413</v>
      </c>
      <c r="L193" s="304">
        <f t="shared" ca="1" si="58"/>
        <v>119.51855746614585</v>
      </c>
      <c r="M193" s="306">
        <f t="shared" ca="1" si="74"/>
        <v>1.2404620149713494</v>
      </c>
      <c r="N193" s="304">
        <f t="shared" ca="1" si="75"/>
        <v>71.073238104152267</v>
      </c>
      <c r="P193" s="310">
        <f t="shared" ca="1" si="76"/>
        <v>8</v>
      </c>
      <c r="Q193" s="304">
        <f t="shared" ca="1" si="77"/>
        <v>2004.1889007633592</v>
      </c>
      <c r="R193" s="306">
        <f t="shared" ca="1" si="78"/>
        <v>1.2052673700661893</v>
      </c>
      <c r="S193" s="307">
        <f t="shared" ca="1" si="79"/>
        <v>21.579715754502953</v>
      </c>
      <c r="T193" s="304">
        <f t="shared" ca="1" si="59"/>
        <v>211.69701155167397</v>
      </c>
      <c r="U193" s="311">
        <f t="shared" ca="1" si="60"/>
        <v>0</v>
      </c>
      <c r="V193" s="306">
        <f t="shared" ca="1" si="61"/>
        <v>1.2111360842495726</v>
      </c>
      <c r="W193" s="304">
        <f t="shared" ca="1" si="62"/>
        <v>124.80232366279589</v>
      </c>
      <c r="Y193" s="314" t="str">
        <f t="shared" ca="1" si="80"/>
        <v/>
      </c>
      <c r="Z193" s="315" t="str">
        <f t="shared" ca="1" si="81"/>
        <v/>
      </c>
      <c r="AA193" s="316" t="str">
        <f t="shared" ca="1" si="82"/>
        <v/>
      </c>
      <c r="AC193" s="310" t="e">
        <f t="shared" ca="1" si="83"/>
        <v>#N/A</v>
      </c>
      <c r="AD193" s="323" t="e">
        <f t="shared" ca="1" si="84"/>
        <v>#N/A</v>
      </c>
      <c r="AE193" s="324">
        <f t="shared" ca="1" si="63"/>
        <v>113.81889410909413</v>
      </c>
      <c r="AG193" s="306">
        <f t="shared" ca="1" si="85"/>
        <v>77.876886098582929</v>
      </c>
      <c r="AH193" s="304">
        <f t="shared" ca="1" si="86"/>
        <v>87.157258975977783</v>
      </c>
    </row>
    <row r="194" spans="1:34" x14ac:dyDescent="0.2">
      <c r="A194" s="347">
        <f t="shared" ca="1" si="64"/>
        <v>0.01</v>
      </c>
      <c r="B194" s="304">
        <f t="shared" ca="1" si="65"/>
        <v>1.9000000000000015</v>
      </c>
      <c r="D194" s="306">
        <f t="shared" ca="1" si="66"/>
        <v>28.287982539875724</v>
      </c>
      <c r="E194" s="307">
        <f t="shared" ca="1" si="67"/>
        <v>72.686677883833497</v>
      </c>
      <c r="F194" s="304">
        <f t="shared" ca="1" si="68"/>
        <v>77.997199295644478</v>
      </c>
      <c r="G194" s="306">
        <f t="shared" ca="1" si="69"/>
        <v>43.407756607435481</v>
      </c>
      <c r="H194" s="307">
        <f t="shared" ca="1" si="70"/>
        <v>126.492607183008</v>
      </c>
      <c r="I194" s="304">
        <f t="shared" ca="1" si="71"/>
        <v>133.73336534180663</v>
      </c>
      <c r="J194" s="306">
        <f t="shared" ca="1" si="72"/>
        <v>36.901073093501957</v>
      </c>
      <c r="K194" s="307">
        <f t="shared" ca="1" si="73"/>
        <v>115.08018584703002</v>
      </c>
      <c r="L194" s="304">
        <f t="shared" ca="1" si="58"/>
        <v>120.85172059196734</v>
      </c>
      <c r="M194" s="306">
        <f t="shared" ca="1" si="74"/>
        <v>1.2402240814839016</v>
      </c>
      <c r="N194" s="304">
        <f t="shared" ca="1" si="75"/>
        <v>71.059605519516666</v>
      </c>
      <c r="P194" s="310">
        <f t="shared" ca="1" si="76"/>
        <v>8</v>
      </c>
      <c r="Q194" s="304">
        <f t="shared" ca="1" si="77"/>
        <v>2005.7579211195932</v>
      </c>
      <c r="R194" s="306">
        <f t="shared" ca="1" si="78"/>
        <v>1.2062109383284514</v>
      </c>
      <c r="S194" s="307">
        <f t="shared" ca="1" si="79"/>
        <v>21.56765364511967</v>
      </c>
      <c r="T194" s="304">
        <f t="shared" ca="1" si="59"/>
        <v>211.57868225862396</v>
      </c>
      <c r="U194" s="311">
        <f t="shared" ca="1" si="60"/>
        <v>0</v>
      </c>
      <c r="V194" s="306">
        <f t="shared" ca="1" si="61"/>
        <v>1.2109833292872678</v>
      </c>
      <c r="W194" s="304">
        <f t="shared" ca="1" si="62"/>
        <v>126.25377423164458</v>
      </c>
      <c r="Y194" s="314" t="str">
        <f t="shared" ca="1" si="80"/>
        <v/>
      </c>
      <c r="Z194" s="315" t="str">
        <f t="shared" ca="1" si="81"/>
        <v/>
      </c>
      <c r="AA194" s="316" t="str">
        <f t="shared" ca="1" si="82"/>
        <v/>
      </c>
      <c r="AC194" s="310" t="e">
        <f t="shared" ca="1" si="83"/>
        <v>#N/A</v>
      </c>
      <c r="AD194" s="323" t="e">
        <f t="shared" ca="1" si="84"/>
        <v>#N/A</v>
      </c>
      <c r="AE194" s="324">
        <f t="shared" ca="1" si="63"/>
        <v>115.08018584703002</v>
      </c>
      <c r="AG194" s="306">
        <f t="shared" ca="1" si="85"/>
        <v>77.932266741301774</v>
      </c>
      <c r="AH194" s="304">
        <f t="shared" ca="1" si="86"/>
        <v>87.211878881522196</v>
      </c>
    </row>
    <row r="195" spans="1:34" x14ac:dyDescent="0.2">
      <c r="A195" s="347">
        <f t="shared" ca="1" si="64"/>
        <v>0.01</v>
      </c>
      <c r="B195" s="304">
        <f t="shared" ca="1" si="65"/>
        <v>1.9100000000000015</v>
      </c>
      <c r="D195" s="306">
        <f t="shared" ca="1" si="66"/>
        <v>28.325233641437404</v>
      </c>
      <c r="E195" s="307">
        <f t="shared" ca="1" si="67"/>
        <v>72.731299813672692</v>
      </c>
      <c r="F195" s="304">
        <f t="shared" ca="1" si="68"/>
        <v>78.052295503901505</v>
      </c>
      <c r="G195" s="306">
        <f t="shared" ca="1" si="69"/>
        <v>43.691008943849852</v>
      </c>
      <c r="H195" s="307">
        <f t="shared" ca="1" si="70"/>
        <v>127.21992018114473</v>
      </c>
      <c r="I195" s="304">
        <f t="shared" ca="1" si="71"/>
        <v>134.51324229765783</v>
      </c>
      <c r="J195" s="306">
        <f t="shared" ca="1" si="72"/>
        <v>37.336566921258381</v>
      </c>
      <c r="K195" s="307">
        <f t="shared" ca="1" si="73"/>
        <v>116.34874848385078</v>
      </c>
      <c r="L195" s="304">
        <f t="shared" ca="1" si="58"/>
        <v>122.19267778072455</v>
      </c>
      <c r="M195" s="306">
        <f t="shared" ca="1" si="74"/>
        <v>1.2399873633447724</v>
      </c>
      <c r="N195" s="304">
        <f t="shared" ca="1" si="75"/>
        <v>71.046042569210385</v>
      </c>
      <c r="P195" s="310">
        <f t="shared" ca="1" si="76"/>
        <v>8</v>
      </c>
      <c r="Q195" s="304">
        <f t="shared" ca="1" si="77"/>
        <v>2007.3269414758274</v>
      </c>
      <c r="R195" s="306">
        <f t="shared" ca="1" si="78"/>
        <v>1.2071545065907137</v>
      </c>
      <c r="S195" s="307">
        <f t="shared" ca="1" si="79"/>
        <v>21.555582100053762</v>
      </c>
      <c r="T195" s="304">
        <f t="shared" ca="1" si="59"/>
        <v>211.46026040152742</v>
      </c>
      <c r="U195" s="311">
        <f t="shared" ca="1" si="60"/>
        <v>0</v>
      </c>
      <c r="V195" s="306">
        <f t="shared" ca="1" si="61"/>
        <v>1.2108297130682368</v>
      </c>
      <c r="W195" s="304">
        <f t="shared" ca="1" si="62"/>
        <v>127.71438307528129</v>
      </c>
      <c r="Y195" s="314" t="str">
        <f t="shared" ca="1" si="80"/>
        <v/>
      </c>
      <c r="Z195" s="315" t="str">
        <f t="shared" ca="1" si="81"/>
        <v/>
      </c>
      <c r="AA195" s="316" t="str">
        <f t="shared" ca="1" si="82"/>
        <v/>
      </c>
      <c r="AC195" s="310" t="e">
        <f t="shared" ca="1" si="83"/>
        <v>#N/A</v>
      </c>
      <c r="AD195" s="323" t="e">
        <f t="shared" ca="1" si="84"/>
        <v>#N/A</v>
      </c>
      <c r="AE195" s="324">
        <f t="shared" ca="1" si="63"/>
        <v>116.34874848385078</v>
      </c>
      <c r="AG195" s="306">
        <f t="shared" ca="1" si="85"/>
        <v>77.987318709434703</v>
      </c>
      <c r="AH195" s="304">
        <f t="shared" ca="1" si="86"/>
        <v>87.266173491064805</v>
      </c>
    </row>
    <row r="196" spans="1:34" x14ac:dyDescent="0.2">
      <c r="A196" s="347">
        <f t="shared" ca="1" si="64"/>
        <v>0.01</v>
      </c>
      <c r="B196" s="304">
        <f t="shared" ca="1" si="65"/>
        <v>1.9200000000000015</v>
      </c>
      <c r="D196" s="306">
        <f t="shared" ca="1" si="66"/>
        <v>28.3623013144936</v>
      </c>
      <c r="E196" s="307">
        <f t="shared" ca="1" si="67"/>
        <v>72.775634816093316</v>
      </c>
      <c r="F196" s="304">
        <f t="shared" ca="1" si="68"/>
        <v>78.107062156628956</v>
      </c>
      <c r="G196" s="306">
        <f t="shared" ca="1" si="69"/>
        <v>43.974631956994784</v>
      </c>
      <c r="H196" s="307">
        <f t="shared" ca="1" si="70"/>
        <v>127.94767652930567</v>
      </c>
      <c r="I196" s="304">
        <f t="shared" ca="1" si="71"/>
        <v>135.29366646299812</v>
      </c>
      <c r="J196" s="306">
        <f t="shared" ca="1" si="72"/>
        <v>37.774895125762605</v>
      </c>
      <c r="K196" s="307">
        <f t="shared" ca="1" si="73"/>
        <v>117.62458646740303</v>
      </c>
      <c r="L196" s="304">
        <f t="shared" ref="L196:L259" ca="1" si="87">SQRT(pos_x^2+pos_z^2)</f>
        <v>123.54143452052813</v>
      </c>
      <c r="M196" s="306">
        <f t="shared" ca="1" si="74"/>
        <v>1.2397518483419259</v>
      </c>
      <c r="N196" s="304">
        <f t="shared" ca="1" si="75"/>
        <v>71.032548553535264</v>
      </c>
      <c r="P196" s="310">
        <f t="shared" ca="1" si="76"/>
        <v>8</v>
      </c>
      <c r="Q196" s="304">
        <f t="shared" ca="1" si="77"/>
        <v>2008.8959618320614</v>
      </c>
      <c r="R196" s="306">
        <f t="shared" ca="1" si="78"/>
        <v>1.2080980748529759</v>
      </c>
      <c r="S196" s="307">
        <f t="shared" ca="1" si="79"/>
        <v>21.543501119305233</v>
      </c>
      <c r="T196" s="304">
        <f t="shared" ref="T196:T259" ca="1" si="88">m*g</f>
        <v>211.34174598038436</v>
      </c>
      <c r="U196" s="311">
        <f t="shared" ref="U196:U259" ca="1" si="89">IF(pos_xz&lt;L_rampe,Poids*COS(Beta),0)</f>
        <v>0</v>
      </c>
      <c r="V196" s="306">
        <f t="shared" ref="V196:V259" ca="1" si="90">Rho_moyen*(20000-Alt_rampe-pos_z)/(20000+Alt_rampe+pos_z)</f>
        <v>1.2106752353834564</v>
      </c>
      <c r="W196" s="304">
        <f t="shared" ref="W196:W259" ca="1" si="91">1/2*Rho*Sref*Cx*vit_xz^2</f>
        <v>129.18415524971584</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117.62458646740303</v>
      </c>
      <c r="AG196" s="306">
        <f t="shared" ca="1" si="85"/>
        <v>78.042041315199356</v>
      </c>
      <c r="AH196" s="304">
        <f t="shared" ca="1" si="86"/>
        <v>87.320142085496229</v>
      </c>
    </row>
    <row r="197" spans="1:34" x14ac:dyDescent="0.2">
      <c r="A197" s="347">
        <f t="shared" ref="A197:A260" ca="1" si="93">IF(B196+0.01&lt;=T_ini+ROUNDUP(Temps_fin_propu,0), 0.01, IF(K196&gt;0, 0.1, 0.0001))</f>
        <v>0.01</v>
      </c>
      <c r="B197" s="304">
        <f t="shared" ref="B197:B260" ca="1" si="94">B196+pas</f>
        <v>1.9300000000000015</v>
      </c>
      <c r="D197" s="306">
        <f t="shared" ref="D197:D260" ca="1" si="95">IF(AND(L196&lt;L_rampe,Poussee&lt;Poids*SIN(M196)),0,(-W196+Poussee)/m*COS(M196)-U196/m*SIN(M196))</f>
        <v>28.399185951826684</v>
      </c>
      <c r="E197" s="307">
        <f t="shared" ref="E197:E260" ca="1" si="96">IF(AND(L196&lt;L_rampe,Poussee&lt;Poids*SIN(M196)),0,(-W196+Poussee)/m*SIN(M196)+U196/m*COS(M196)-Poids/m)</f>
        <v>72.819682072460054</v>
      </c>
      <c r="F197" s="304">
        <f t="shared" ref="F197:F260" ca="1" si="97">SQRT(acc_x^2+acc_z^2)</f>
        <v>78.161498577372413</v>
      </c>
      <c r="G197" s="306">
        <f t="shared" ref="G197:G260" ca="1" si="98">G196+acc_x*pas</f>
        <v>44.258623816513051</v>
      </c>
      <c r="H197" s="307">
        <f t="shared" ref="H197:H260" ca="1" si="99">H196+acc_z*pas</f>
        <v>128.67587335003026</v>
      </c>
      <c r="I197" s="304">
        <f t="shared" ref="I197:I260" ca="1" si="100">SQRT(vit_x^2+vit_z^2)</f>
        <v>136.0746345375384</v>
      </c>
      <c r="J197" s="306">
        <f t="shared" ref="J197:J260" ca="1" si="101">J196+0.5*(vit_x+G196)*pas*(K196&gt;=0)</f>
        <v>38.216061404630146</v>
      </c>
      <c r="K197" s="307">
        <f t="shared" ref="K197:K260" ca="1" si="102">K196+0.5*(vit_z+H196)*pas</f>
        <v>118.90770421679971</v>
      </c>
      <c r="L197" s="304">
        <f t="shared" ca="1" si="87"/>
        <v>124.89799626652299</v>
      </c>
      <c r="M197" s="306">
        <f t="shared" ref="M197:M260" ca="1" si="103">IF(AND(L196&gt;L_rampe,G197&gt;0),ATAN2(G197,H197),$M$4)</f>
        <v>1.239517524444727</v>
      </c>
      <c r="N197" s="304">
        <f t="shared" ref="N197:N260" ca="1" si="104">DEGREES(Beta)</f>
        <v>71.019122783186702</v>
      </c>
      <c r="P197" s="310">
        <f t="shared" ref="P197:P260" ca="1" si="105">MATCH(t-pas/2-T_ini,CdP_t)</f>
        <v>8</v>
      </c>
      <c r="Q197" s="304">
        <f t="shared" ref="Q197:Q260" ca="1" si="106">(INDEX(CdP,2,i_P+1)-INDEX(CdP,2,i_P+0))/(INDEX(CdP,1,i_P+1)-INDEX(CdP,1,i_P+0))*(t-pas/2-T_ini-INDEX(CdP,1,i_P+0))+INDEX(CdP,2,i_P+0)</f>
        <v>2010.4649821882956</v>
      </c>
      <c r="R197" s="306">
        <f t="shared" ref="R197:R260" ca="1" si="107">Poussee/(g*ISP)</f>
        <v>1.2090416431152382</v>
      </c>
      <c r="S197" s="307">
        <f t="shared" ref="S197:S260" ca="1" si="108">S196-Débit*pas</f>
        <v>21.53141070287408</v>
      </c>
      <c r="T197" s="304">
        <f t="shared" ca="1" si="88"/>
        <v>211.22313899519474</v>
      </c>
      <c r="U197" s="311">
        <f t="shared" ca="1" si="89"/>
        <v>0</v>
      </c>
      <c r="V197" s="306">
        <f t="shared" ca="1" si="90"/>
        <v>1.2105198960294403</v>
      </c>
      <c r="W197" s="304">
        <f t="shared" ca="1" si="91"/>
        <v>130.66309561789797</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118.90770421679971</v>
      </c>
      <c r="AG197" s="306">
        <f t="shared" ref="AG197:AG260" ca="1" si="114">IF(AND(L196&lt;L_rampe,Poussee&lt;Poids*SIN(M196)),0,(-W196+Poussee)/m-Poids*SIN(M196)/m)</f>
        <v>78.096433876847797</v>
      </c>
      <c r="AH197" s="304">
        <f t="shared" ref="AH197:AH260" ca="1" si="115">IF(AND(L196&lt;L_rampe,Poussee&lt;Poids*SIN(M196)), g*SIN(M196), (-W196+Poussee)/m)</f>
        <v>87.373783952180176</v>
      </c>
    </row>
    <row r="198" spans="1:34" x14ac:dyDescent="0.2">
      <c r="A198" s="347">
        <f t="shared" ca="1" si="93"/>
        <v>0.01</v>
      </c>
      <c r="B198" s="304">
        <f t="shared" ca="1" si="94"/>
        <v>1.9400000000000015</v>
      </c>
      <c r="D198" s="306">
        <f t="shared" ca="1" si="95"/>
        <v>28.435887937095025</v>
      </c>
      <c r="E198" s="307">
        <f t="shared" ca="1" si="96"/>
        <v>72.863440773007127</v>
      </c>
      <c r="F198" s="304">
        <f t="shared" ca="1" si="97"/>
        <v>78.215604095682494</v>
      </c>
      <c r="G198" s="306">
        <f t="shared" ca="1" si="98"/>
        <v>44.542982695884</v>
      </c>
      <c r="H198" s="307">
        <f t="shared" ca="1" si="99"/>
        <v>129.40450775776034</v>
      </c>
      <c r="I198" s="304">
        <f t="shared" ca="1" si="100"/>
        <v>136.85614321423091</v>
      </c>
      <c r="J198" s="306">
        <f t="shared" ca="1" si="101"/>
        <v>38.660069437192135</v>
      </c>
      <c r="K198" s="307">
        <f t="shared" ca="1" si="102"/>
        <v>120.19810612233867</v>
      </c>
      <c r="L198" s="304">
        <f t="shared" ca="1" si="87"/>
        <v>126.26236844082051</v>
      </c>
      <c r="M198" s="306">
        <f t="shared" ca="1" si="103"/>
        <v>1.239284379800319</v>
      </c>
      <c r="N198" s="304">
        <f t="shared" ca="1" si="104"/>
        <v>71.005764579046058</v>
      </c>
      <c r="P198" s="310">
        <f t="shared" ca="1" si="105"/>
        <v>8</v>
      </c>
      <c r="Q198" s="304">
        <f t="shared" ca="1" si="106"/>
        <v>2012.0340025445296</v>
      </c>
      <c r="R198" s="306">
        <f t="shared" ca="1" si="107"/>
        <v>1.2099852113775005</v>
      </c>
      <c r="S198" s="307">
        <f t="shared" ca="1" si="108"/>
        <v>21.519310850760306</v>
      </c>
      <c r="T198" s="304">
        <f t="shared" ca="1" si="88"/>
        <v>211.1044394459586</v>
      </c>
      <c r="U198" s="311">
        <f t="shared" ca="1" si="89"/>
        <v>0</v>
      </c>
      <c r="V198" s="306">
        <f t="shared" ca="1" si="90"/>
        <v>1.2103636948082477</v>
      </c>
      <c r="W198" s="304">
        <f t="shared" ca="1" si="91"/>
        <v>132.15120884923357</v>
      </c>
      <c r="Y198" s="314" t="str">
        <f t="shared" ca="1" si="109"/>
        <v/>
      </c>
      <c r="Z198" s="315" t="str">
        <f t="shared" ca="1" si="110"/>
        <v/>
      </c>
      <c r="AA198" s="316" t="str">
        <f t="shared" ca="1" si="111"/>
        <v/>
      </c>
      <c r="AC198" s="310" t="e">
        <f t="shared" ca="1" si="112"/>
        <v>#N/A</v>
      </c>
      <c r="AD198" s="323" t="e">
        <f t="shared" ca="1" si="113"/>
        <v>#N/A</v>
      </c>
      <c r="AE198" s="324">
        <f t="shared" ca="1" si="92"/>
        <v>120.19810612233867</v>
      </c>
      <c r="AG198" s="306">
        <f t="shared" ca="1" si="114"/>
        <v>78.150495718712804</v>
      </c>
      <c r="AH198" s="304">
        <f t="shared" ca="1" si="115"/>
        <v>87.427098384991268</v>
      </c>
    </row>
    <row r="199" spans="1:34" x14ac:dyDescent="0.2">
      <c r="A199" s="347">
        <f t="shared" ca="1" si="93"/>
        <v>0.01</v>
      </c>
      <c r="B199" s="304">
        <f t="shared" ca="1" si="94"/>
        <v>1.9500000000000015</v>
      </c>
      <c r="D199" s="306">
        <f t="shared" ca="1" si="95"/>
        <v>28.472407645084143</v>
      </c>
      <c r="E199" s="307">
        <f t="shared" ca="1" si="96"/>
        <v>72.906910116817784</v>
      </c>
      <c r="F199" s="304">
        <f t="shared" ca="1" si="97"/>
        <v>78.269378047162178</v>
      </c>
      <c r="G199" s="306">
        <f t="shared" ca="1" si="98"/>
        <v>44.827706772334842</v>
      </c>
      <c r="H199" s="307">
        <f t="shared" ca="1" si="99"/>
        <v>130.13357685892851</v>
      </c>
      <c r="I199" s="304">
        <f t="shared" ca="1" si="100"/>
        <v>137.6381891793302</v>
      </c>
      <c r="J199" s="306">
        <f t="shared" ca="1" si="101"/>
        <v>39.106922884533226</v>
      </c>
      <c r="K199" s="307">
        <f t="shared" ca="1" si="102"/>
        <v>121.49579654542211</v>
      </c>
      <c r="L199" s="304">
        <f t="shared" ca="1" si="87"/>
        <v>127.63455643243107</v>
      </c>
      <c r="M199" s="306">
        <f t="shared" ca="1" si="103"/>
        <v>1.2390524027300935</v>
      </c>
      <c r="N199" s="304">
        <f t="shared" ca="1" si="104"/>
        <v>70.992473271978326</v>
      </c>
      <c r="P199" s="310">
        <f t="shared" ca="1" si="105"/>
        <v>8</v>
      </c>
      <c r="Q199" s="304">
        <f t="shared" ca="1" si="106"/>
        <v>2013.6030229007638</v>
      </c>
      <c r="R199" s="306">
        <f t="shared" ca="1" si="107"/>
        <v>1.2109287796397628</v>
      </c>
      <c r="S199" s="307">
        <f t="shared" ca="1" si="108"/>
        <v>21.507201562963907</v>
      </c>
      <c r="T199" s="304">
        <f t="shared" ca="1" si="88"/>
        <v>210.98564733267594</v>
      </c>
      <c r="U199" s="311">
        <f t="shared" ca="1" si="89"/>
        <v>0</v>
      </c>
      <c r="V199" s="306">
        <f t="shared" ca="1" si="90"/>
        <v>1.2102066315274935</v>
      </c>
      <c r="W199" s="304">
        <f t="shared" ca="1" si="91"/>
        <v>133.64849941910825</v>
      </c>
      <c r="Y199" s="314" t="str">
        <f t="shared" ca="1" si="109"/>
        <v/>
      </c>
      <c r="Z199" s="315" t="str">
        <f t="shared" ca="1" si="110"/>
        <v/>
      </c>
      <c r="AA199" s="316" t="str">
        <f t="shared" ca="1" si="111"/>
        <v/>
      </c>
      <c r="AC199" s="310" t="e">
        <f t="shared" ca="1" si="112"/>
        <v>#N/A</v>
      </c>
      <c r="AD199" s="323" t="e">
        <f t="shared" ca="1" si="113"/>
        <v>#N/A</v>
      </c>
      <c r="AE199" s="324">
        <f t="shared" ca="1" si="92"/>
        <v>121.49579654542211</v>
      </c>
      <c r="AG199" s="306">
        <f t="shared" ca="1" si="114"/>
        <v>78.204226171253865</v>
      </c>
      <c r="AH199" s="304">
        <f t="shared" ca="1" si="115"/>
        <v>87.480084684352931</v>
      </c>
    </row>
    <row r="200" spans="1:34" x14ac:dyDescent="0.2">
      <c r="A200" s="347">
        <f t="shared" ca="1" si="93"/>
        <v>0.01</v>
      </c>
      <c r="B200" s="304">
        <f t="shared" ca="1" si="94"/>
        <v>1.9600000000000015</v>
      </c>
      <c r="D200" s="306">
        <f t="shared" ca="1" si="95"/>
        <v>28.508745441951582</v>
      </c>
      <c r="E200" s="307">
        <f t="shared" ca="1" si="96"/>
        <v>72.950089311804931</v>
      </c>
      <c r="F200" s="304">
        <f t="shared" ca="1" si="97"/>
        <v>78.322819773513714</v>
      </c>
      <c r="G200" s="306">
        <f t="shared" ca="1" si="98"/>
        <v>45.11279422675436</v>
      </c>
      <c r="H200" s="307">
        <f t="shared" ca="1" si="99"/>
        <v>130.86307775204656</v>
      </c>
      <c r="I200" s="304">
        <f t="shared" ca="1" si="100"/>
        <v>138.4207691124553</v>
      </c>
      <c r="J200" s="306">
        <f t="shared" ca="1" si="101"/>
        <v>39.556625389528669</v>
      </c>
      <c r="K200" s="307">
        <f t="shared" ca="1" si="102"/>
        <v>122.80077981847698</v>
      </c>
      <c r="L200" s="304">
        <f t="shared" ca="1" si="87"/>
        <v>129.01456559719747</v>
      </c>
      <c r="M200" s="306">
        <f t="shared" ca="1" si="103"/>
        <v>1.2388215817262465</v>
      </c>
      <c r="N200" s="304">
        <f t="shared" ca="1" si="104"/>
        <v>70.979248202634906</v>
      </c>
      <c r="P200" s="310">
        <f t="shared" ca="1" si="105"/>
        <v>8</v>
      </c>
      <c r="Q200" s="304">
        <f t="shared" ca="1" si="106"/>
        <v>2015.1720432569978</v>
      </c>
      <c r="R200" s="306">
        <f t="shared" ca="1" si="107"/>
        <v>1.211872347902025</v>
      </c>
      <c r="S200" s="307">
        <f t="shared" ca="1" si="108"/>
        <v>21.495082839484887</v>
      </c>
      <c r="T200" s="304">
        <f t="shared" ca="1" si="88"/>
        <v>210.86676265534675</v>
      </c>
      <c r="U200" s="311">
        <f t="shared" ca="1" si="89"/>
        <v>0</v>
      </c>
      <c r="V200" s="306">
        <f t="shared" ca="1" si="90"/>
        <v>1.2100487060003593</v>
      </c>
      <c r="W200" s="304">
        <f t="shared" ca="1" si="91"/>
        <v>135.15497160842116</v>
      </c>
      <c r="Y200" s="314" t="str">
        <f t="shared" ca="1" si="109"/>
        <v/>
      </c>
      <c r="Z200" s="315" t="str">
        <f t="shared" ca="1" si="110"/>
        <v/>
      </c>
      <c r="AA200" s="316" t="str">
        <f t="shared" ca="1" si="111"/>
        <v/>
      </c>
      <c r="AC200" s="310" t="e">
        <f t="shared" ca="1" si="112"/>
        <v>#N/A</v>
      </c>
      <c r="AD200" s="323" t="e">
        <f t="shared" ca="1" si="113"/>
        <v>#N/A</v>
      </c>
      <c r="AE200" s="324">
        <f t="shared" ca="1" si="92"/>
        <v>122.80077981847698</v>
      </c>
      <c r="AG200" s="306">
        <f t="shared" ca="1" si="114"/>
        <v>78.257624571102539</v>
      </c>
      <c r="AH200" s="304">
        <f t="shared" ca="1" si="115"/>
        <v>87.53274215727464</v>
      </c>
    </row>
    <row r="201" spans="1:34" x14ac:dyDescent="0.2">
      <c r="A201" s="347">
        <f t="shared" ca="1" si="93"/>
        <v>0.01</v>
      </c>
      <c r="B201" s="304">
        <f t="shared" ca="1" si="94"/>
        <v>1.9700000000000015</v>
      </c>
      <c r="D201" s="306">
        <f t="shared" ca="1" si="95"/>
        <v>28.544901685466115</v>
      </c>
      <c r="E201" s="307">
        <f t="shared" ca="1" si="96"/>
        <v>72.992977574692915</v>
      </c>
      <c r="F201" s="304">
        <f t="shared" ca="1" si="97"/>
        <v>78.375928622585064</v>
      </c>
      <c r="G201" s="306">
        <f t="shared" ca="1" si="98"/>
        <v>45.398243243609024</v>
      </c>
      <c r="H201" s="307">
        <f t="shared" ca="1" si="99"/>
        <v>131.5930075277935</v>
      </c>
      <c r="I201" s="304">
        <f t="shared" ca="1" si="100"/>
        <v>139.20387968665173</v>
      </c>
      <c r="J201" s="306">
        <f t="shared" ca="1" si="101"/>
        <v>40.009180576880489</v>
      </c>
      <c r="K201" s="307">
        <f t="shared" ca="1" si="102"/>
        <v>124.11306024487618</v>
      </c>
      <c r="L201" s="304">
        <f t="shared" ca="1" si="87"/>
        <v>130.40240125772874</v>
      </c>
      <c r="M201" s="306">
        <f t="shared" ca="1" si="103"/>
        <v>1.2385919054484202</v>
      </c>
      <c r="N201" s="304">
        <f t="shared" ca="1" si="104"/>
        <v>70.966088721261187</v>
      </c>
      <c r="P201" s="310">
        <f t="shared" ca="1" si="105"/>
        <v>8</v>
      </c>
      <c r="Q201" s="304">
        <f t="shared" ca="1" si="106"/>
        <v>2016.741063613232</v>
      </c>
      <c r="R201" s="306">
        <f t="shared" ca="1" si="107"/>
        <v>1.2128159161642873</v>
      </c>
      <c r="S201" s="307">
        <f t="shared" ca="1" si="108"/>
        <v>21.482954680323243</v>
      </c>
      <c r="T201" s="304">
        <f t="shared" ca="1" si="88"/>
        <v>210.74778541397103</v>
      </c>
      <c r="U201" s="311">
        <f t="shared" ca="1" si="89"/>
        <v>0</v>
      </c>
      <c r="V201" s="306">
        <f t="shared" ca="1" si="90"/>
        <v>1.2098899180455984</v>
      </c>
      <c r="W201" s="304">
        <f t="shared" ca="1" si="91"/>
        <v>136.67062950312496</v>
      </c>
      <c r="Y201" s="314" t="str">
        <f t="shared" ca="1" si="109"/>
        <v/>
      </c>
      <c r="Z201" s="315" t="str">
        <f t="shared" ca="1" si="110"/>
        <v/>
      </c>
      <c r="AA201" s="316" t="str">
        <f t="shared" ca="1" si="111"/>
        <v/>
      </c>
      <c r="AC201" s="310" t="e">
        <f t="shared" ca="1" si="112"/>
        <v>#N/A</v>
      </c>
      <c r="AD201" s="323" t="e">
        <f t="shared" ca="1" si="113"/>
        <v>#N/A</v>
      </c>
      <c r="AE201" s="324">
        <f t="shared" ca="1" si="92"/>
        <v>124.11306024487618</v>
      </c>
      <c r="AG201" s="306">
        <f t="shared" ca="1" si="114"/>
        <v>78.310690261107723</v>
      </c>
      <c r="AH201" s="304">
        <f t="shared" ca="1" si="115"/>
        <v>87.585070117389435</v>
      </c>
    </row>
    <row r="202" spans="1:34" x14ac:dyDescent="0.2">
      <c r="A202" s="347">
        <f t="shared" ca="1" si="93"/>
        <v>0.01</v>
      </c>
      <c r="B202" s="304">
        <f t="shared" ca="1" si="94"/>
        <v>1.9800000000000015</v>
      </c>
      <c r="D202" s="306">
        <f t="shared" ca="1" si="95"/>
        <v>28.580876725241112</v>
      </c>
      <c r="E202" s="307">
        <f t="shared" ca="1" si="96"/>
        <v>73.035574131000217</v>
      </c>
      <c r="F202" s="304">
        <f t="shared" ca="1" si="97"/>
        <v>78.42870394841583</v>
      </c>
      <c r="G202" s="306">
        <f t="shared" ca="1" si="98"/>
        <v>45.684052010861436</v>
      </c>
      <c r="H202" s="307">
        <f t="shared" ca="1" si="99"/>
        <v>132.32336326910351</v>
      </c>
      <c r="I202" s="304">
        <f t="shared" ca="1" si="100"/>
        <v>139.98751756845402</v>
      </c>
      <c r="J202" s="306">
        <f t="shared" ca="1" si="101"/>
        <v>40.464592053152842</v>
      </c>
      <c r="K202" s="307">
        <f t="shared" ca="1" si="102"/>
        <v>125.43264209886067</v>
      </c>
      <c r="L202" s="304">
        <f t="shared" ca="1" si="87"/>
        <v>131.79806870333476</v>
      </c>
      <c r="M202" s="306">
        <f t="shared" ca="1" si="103"/>
        <v>1.2383633627204291</v>
      </c>
      <c r="N202" s="304">
        <f t="shared" ca="1" si="104"/>
        <v>70.952994187508892</v>
      </c>
      <c r="P202" s="310">
        <f t="shared" ca="1" si="105"/>
        <v>8</v>
      </c>
      <c r="Q202" s="304">
        <f t="shared" ca="1" si="106"/>
        <v>2018.3100839694662</v>
      </c>
      <c r="R202" s="306">
        <f t="shared" ca="1" si="107"/>
        <v>1.2137594844265496</v>
      </c>
      <c r="S202" s="307">
        <f t="shared" ca="1" si="108"/>
        <v>21.470817085478977</v>
      </c>
      <c r="T202" s="304">
        <f t="shared" ca="1" si="88"/>
        <v>210.62871560854879</v>
      </c>
      <c r="U202" s="311">
        <f t="shared" ca="1" si="89"/>
        <v>0</v>
      </c>
      <c r="V202" s="306">
        <f t="shared" ca="1" si="90"/>
        <v>1.2097302674875485</v>
      </c>
      <c r="W202" s="304">
        <f t="shared" ca="1" si="91"/>
        <v>138.19547699377577</v>
      </c>
      <c r="Y202" s="314" t="str">
        <f t="shared" ca="1" si="109"/>
        <v/>
      </c>
      <c r="Z202" s="315" t="str">
        <f t="shared" ca="1" si="110"/>
        <v/>
      </c>
      <c r="AA202" s="316" t="str">
        <f t="shared" ca="1" si="111"/>
        <v/>
      </c>
      <c r="AC202" s="310" t="e">
        <f t="shared" ca="1" si="112"/>
        <v>#N/A</v>
      </c>
      <c r="AD202" s="323" t="e">
        <f t="shared" ca="1" si="113"/>
        <v>#N/A</v>
      </c>
      <c r="AE202" s="324">
        <f t="shared" ca="1" si="92"/>
        <v>125.43264209886067</v>
      </c>
      <c r="AG202" s="306">
        <f t="shared" ca="1" si="114"/>
        <v>78.36342259038021</v>
      </c>
      <c r="AH202" s="304">
        <f t="shared" ca="1" si="115"/>
        <v>87.637067884990785</v>
      </c>
    </row>
    <row r="203" spans="1:34" x14ac:dyDescent="0.2">
      <c r="A203" s="347">
        <f t="shared" ca="1" si="93"/>
        <v>0.01</v>
      </c>
      <c r="B203" s="304">
        <f t="shared" ca="1" si="94"/>
        <v>1.9900000000000015</v>
      </c>
      <c r="D203" s="306">
        <f t="shared" ca="1" si="95"/>
        <v>28.616670902962419</v>
      </c>
      <c r="E203" s="307">
        <f t="shared" ca="1" si="96"/>
        <v>73.07787821502346</v>
      </c>
      <c r="F203" s="304">
        <f t="shared" ca="1" si="97"/>
        <v>78.481145111282984</v>
      </c>
      <c r="G203" s="306">
        <f t="shared" ca="1" si="98"/>
        <v>45.970218719891058</v>
      </c>
      <c r="H203" s="307">
        <f t="shared" ca="1" si="99"/>
        <v>133.05414205125373</v>
      </c>
      <c r="I203" s="304">
        <f t="shared" ca="1" si="100"/>
        <v>140.77167941794909</v>
      </c>
      <c r="J203" s="306">
        <f t="shared" ca="1" si="101"/>
        <v>40.922863406806606</v>
      </c>
      <c r="K203" s="307">
        <f t="shared" ca="1" si="102"/>
        <v>126.75952962546245</v>
      </c>
      <c r="L203" s="304">
        <f t="shared" ca="1" si="87"/>
        <v>133.20157318996138</v>
      </c>
      <c r="M203" s="306">
        <f t="shared" ca="1" si="103"/>
        <v>1.2381359425270646</v>
      </c>
      <c r="N203" s="304">
        <f t="shared" ca="1" si="104"/>
        <v>70.939963970253061</v>
      </c>
      <c r="P203" s="310">
        <f t="shared" ca="1" si="105"/>
        <v>8</v>
      </c>
      <c r="Q203" s="304">
        <f t="shared" ca="1" si="106"/>
        <v>2019.8791043257002</v>
      </c>
      <c r="R203" s="306">
        <f t="shared" ca="1" si="107"/>
        <v>1.2147030526888118</v>
      </c>
      <c r="S203" s="307">
        <f t="shared" ca="1" si="108"/>
        <v>21.458670054952091</v>
      </c>
      <c r="T203" s="304">
        <f t="shared" ca="1" si="88"/>
        <v>210.50955323908002</v>
      </c>
      <c r="U203" s="311">
        <f t="shared" ca="1" si="89"/>
        <v>0</v>
      </c>
      <c r="V203" s="306">
        <f t="shared" ca="1" si="90"/>
        <v>1.2095697541561397</v>
      </c>
      <c r="W203" s="304">
        <f t="shared" ca="1" si="91"/>
        <v>139.7295177750913</v>
      </c>
      <c r="Y203" s="314" t="str">
        <f t="shared" ca="1" si="109"/>
        <v/>
      </c>
      <c r="Z203" s="315" t="str">
        <f t="shared" ca="1" si="110"/>
        <v/>
      </c>
      <c r="AA203" s="316" t="str">
        <f t="shared" ca="1" si="111"/>
        <v/>
      </c>
      <c r="AC203" s="310" t="e">
        <f t="shared" ca="1" si="112"/>
        <v>#N/A</v>
      </c>
      <c r="AD203" s="323" t="e">
        <f t="shared" ca="1" si="113"/>
        <v>#N/A</v>
      </c>
      <c r="AE203" s="324">
        <f t="shared" ca="1" si="92"/>
        <v>126.75952962546245</v>
      </c>
      <c r="AG203" s="306">
        <f t="shared" ca="1" si="114"/>
        <v>78.41582091433699</v>
      </c>
      <c r="AH203" s="304">
        <f t="shared" ca="1" si="115"/>
        <v>87.688734787069521</v>
      </c>
    </row>
    <row r="204" spans="1:34" x14ac:dyDescent="0.2">
      <c r="A204" s="347">
        <f t="shared" ca="1" si="93"/>
        <v>0.01</v>
      </c>
      <c r="B204" s="304">
        <f t="shared" ca="1" si="94"/>
        <v>2.0000000000000013</v>
      </c>
      <c r="D204" s="306">
        <f t="shared" ca="1" si="95"/>
        <v>28.652284552610819</v>
      </c>
      <c r="E204" s="307">
        <f t="shared" ca="1" si="96"/>
        <v>73.119889069822051</v>
      </c>
      <c r="F204" s="304">
        <f t="shared" ca="1" si="97"/>
        <v>78.533251477745807</v>
      </c>
      <c r="G204" s="306">
        <f t="shared" ca="1" si="98"/>
        <v>46.256741565417165</v>
      </c>
      <c r="H204" s="307">
        <f t="shared" ca="1" si="99"/>
        <v>133.78534094195194</v>
      </c>
      <c r="I204" s="304">
        <f t="shared" ca="1" si="100"/>
        <v>141.55636188883958</v>
      </c>
      <c r="J204" s="306">
        <f t="shared" ca="1" si="101"/>
        <v>41.383998208233145</v>
      </c>
      <c r="K204" s="307">
        <f t="shared" ca="1" si="102"/>
        <v>128.09372704042849</v>
      </c>
      <c r="L204" s="304">
        <f t="shared" ca="1" si="87"/>
        <v>134.61291994012629</v>
      </c>
      <c r="M204" s="306">
        <f t="shared" ca="1" si="103"/>
        <v>1.237909634010979</v>
      </c>
      <c r="N204" s="304">
        <f t="shared" ca="1" si="104"/>
        <v>70.926997447413484</v>
      </c>
      <c r="P204" s="310">
        <f t="shared" ca="1" si="105"/>
        <v>8</v>
      </c>
      <c r="Q204" s="304">
        <f t="shared" ca="1" si="106"/>
        <v>2021.4481246819341</v>
      </c>
      <c r="R204" s="306">
        <f t="shared" ca="1" si="107"/>
        <v>1.2156466209510739</v>
      </c>
      <c r="S204" s="307">
        <f t="shared" ca="1" si="108"/>
        <v>21.44651358874258</v>
      </c>
      <c r="T204" s="304">
        <f t="shared" ca="1" si="88"/>
        <v>210.39029830556473</v>
      </c>
      <c r="U204" s="311">
        <f t="shared" ca="1" si="89"/>
        <v>0</v>
      </c>
      <c r="V204" s="306">
        <f t="shared" ca="1" si="90"/>
        <v>1.2094083778869011</v>
      </c>
      <c r="W204" s="304">
        <f t="shared" ca="1" si="91"/>
        <v>141.27275534551723</v>
      </c>
      <c r="Y204" s="314" t="str">
        <f t="shared" ca="1" si="109"/>
        <v/>
      </c>
      <c r="Z204" s="315" t="str">
        <f t="shared" ca="1" si="110"/>
        <v/>
      </c>
      <c r="AA204" s="316" t="str">
        <f t="shared" ca="1" si="111"/>
        <v/>
      </c>
      <c r="AC204" s="310">
        <f t="shared" ca="1" si="112"/>
        <v>2.0000000000000013</v>
      </c>
      <c r="AD204" s="323">
        <f t="shared" ca="1" si="113"/>
        <v>41.383998208233145</v>
      </c>
      <c r="AE204" s="324">
        <f t="shared" ca="1" si="92"/>
        <v>128.09372704042849</v>
      </c>
      <c r="AG204" s="306">
        <f t="shared" ca="1" si="114"/>
        <v>78.467884594745172</v>
      </c>
      <c r="AH204" s="304">
        <f t="shared" ca="1" si="115"/>
        <v>87.740070157350402</v>
      </c>
    </row>
    <row r="205" spans="1:34" x14ac:dyDescent="0.2">
      <c r="A205" s="347">
        <f t="shared" ca="1" si="93"/>
        <v>0.01</v>
      </c>
      <c r="B205" s="304">
        <f t="shared" ca="1" si="94"/>
        <v>2.0100000000000011</v>
      </c>
      <c r="D205" s="306">
        <f t="shared" ca="1" si="95"/>
        <v>28.687718000679279</v>
      </c>
      <c r="E205" s="307">
        <f t="shared" ca="1" si="96"/>
        <v>73.161605947204094</v>
      </c>
      <c r="F205" s="304">
        <f t="shared" ca="1" si="97"/>
        <v>78.585022420690748</v>
      </c>
      <c r="G205" s="306">
        <f t="shared" ca="1" si="98"/>
        <v>46.543618745423956</v>
      </c>
      <c r="H205" s="307">
        <f t="shared" ca="1" si="99"/>
        <v>134.51695700142398</v>
      </c>
      <c r="I205" s="304">
        <f t="shared" ca="1" si="100"/>
        <v>142.34156162850795</v>
      </c>
      <c r="J205" s="306">
        <f t="shared" ca="1" si="101"/>
        <v>41.848000009787349</v>
      </c>
      <c r="K205" s="307">
        <f t="shared" ca="1" si="102"/>
        <v>129.43523853014537</v>
      </c>
      <c r="L205" s="304">
        <f t="shared" ca="1" si="87"/>
        <v>136.03211414285522</v>
      </c>
      <c r="M205" s="306">
        <f t="shared" ca="1" si="103"/>
        <v>1.2376844264696443</v>
      </c>
      <c r="N205" s="304">
        <f t="shared" ca="1" si="104"/>
        <v>70.914094005780484</v>
      </c>
      <c r="P205" s="310">
        <f t="shared" ca="1" si="105"/>
        <v>8</v>
      </c>
      <c r="Q205" s="304">
        <f t="shared" ca="1" si="106"/>
        <v>2023.0171450381683</v>
      </c>
      <c r="R205" s="306">
        <f t="shared" ca="1" si="107"/>
        <v>1.2165901892133364</v>
      </c>
      <c r="S205" s="307">
        <f t="shared" ca="1" si="108"/>
        <v>21.434347686850447</v>
      </c>
      <c r="T205" s="304">
        <f t="shared" ca="1" si="88"/>
        <v>210.27095080800291</v>
      </c>
      <c r="U205" s="311">
        <f t="shared" ca="1" si="89"/>
        <v>0</v>
      </c>
      <c r="V205" s="306">
        <f t="shared" ca="1" si="90"/>
        <v>1.2092461385209727</v>
      </c>
      <c r="W205" s="304">
        <f t="shared" ca="1" si="91"/>
        <v>142.82519300680264</v>
      </c>
      <c r="Y205" s="314" t="str">
        <f t="shared" ca="1" si="109"/>
        <v/>
      </c>
      <c r="Z205" s="315" t="str">
        <f t="shared" ca="1" si="110"/>
        <v/>
      </c>
      <c r="AA205" s="316" t="str">
        <f t="shared" ca="1" si="111"/>
        <v/>
      </c>
      <c r="AC205" s="310" t="e">
        <f t="shared" ca="1" si="112"/>
        <v>#N/A</v>
      </c>
      <c r="AD205" s="323" t="e">
        <f t="shared" ca="1" si="113"/>
        <v>#N/A</v>
      </c>
      <c r="AE205" s="324">
        <f t="shared" ca="1" si="92"/>
        <v>129.43523853014537</v>
      </c>
      <c r="AG205" s="306">
        <f t="shared" ca="1" si="114"/>
        <v>78.519612999765414</v>
      </c>
      <c r="AH205" s="304">
        <f t="shared" ca="1" si="115"/>
        <v>87.791073336328509</v>
      </c>
    </row>
    <row r="206" spans="1:34" x14ac:dyDescent="0.2">
      <c r="A206" s="347">
        <f t="shared" ca="1" si="93"/>
        <v>0.01</v>
      </c>
      <c r="B206" s="304">
        <f t="shared" ca="1" si="94"/>
        <v>2.0200000000000009</v>
      </c>
      <c r="D206" s="306">
        <f t="shared" ca="1" si="95"/>
        <v>28.722971566385137</v>
      </c>
      <c r="E206" s="307">
        <f t="shared" ca="1" si="96"/>
        <v>73.203028107712925</v>
      </c>
      <c r="F206" s="304">
        <f t="shared" ca="1" si="97"/>
        <v>78.63645731937558</v>
      </c>
      <c r="G206" s="306">
        <f t="shared" ca="1" si="98"/>
        <v>46.830848461087804</v>
      </c>
      <c r="H206" s="307">
        <f t="shared" ca="1" si="99"/>
        <v>135.2489872825011</v>
      </c>
      <c r="I206" s="304">
        <f t="shared" ca="1" si="100"/>
        <v>143.12727527808079</v>
      </c>
      <c r="J206" s="306">
        <f t="shared" ca="1" si="101"/>
        <v>42.314872345819907</v>
      </c>
      <c r="K206" s="307">
        <f t="shared" ca="1" si="102"/>
        <v>130.784068251565</v>
      </c>
      <c r="L206" s="304">
        <f t="shared" ca="1" si="87"/>
        <v>137.4591609536194</v>
      </c>
      <c r="M206" s="306">
        <f t="shared" ca="1" si="103"/>
        <v>1.2374603093523855</v>
      </c>
      <c r="N206" s="304">
        <f t="shared" ca="1" si="104"/>
        <v>70.901253040844921</v>
      </c>
      <c r="P206" s="310">
        <f t="shared" ca="1" si="105"/>
        <v>8</v>
      </c>
      <c r="Q206" s="304">
        <f t="shared" ca="1" si="106"/>
        <v>2024.5861653944023</v>
      </c>
      <c r="R206" s="306">
        <f t="shared" ca="1" si="107"/>
        <v>1.2175337574755984</v>
      </c>
      <c r="S206" s="307">
        <f t="shared" ca="1" si="108"/>
        <v>21.422172349275691</v>
      </c>
      <c r="T206" s="304">
        <f t="shared" ca="1" si="88"/>
        <v>210.15151074639454</v>
      </c>
      <c r="U206" s="311">
        <f t="shared" ca="1" si="89"/>
        <v>0</v>
      </c>
      <c r="V206" s="306">
        <f t="shared" ca="1" si="90"/>
        <v>1.2090830359051108</v>
      </c>
      <c r="W206" s="304">
        <f t="shared" ca="1" si="91"/>
        <v>144.38683386358369</v>
      </c>
      <c r="Y206" s="314" t="str">
        <f t="shared" ca="1" si="109"/>
        <v/>
      </c>
      <c r="Z206" s="315" t="str">
        <f t="shared" ca="1" si="110"/>
        <v/>
      </c>
      <c r="AA206" s="316" t="str">
        <f t="shared" ca="1" si="111"/>
        <v/>
      </c>
      <c r="AC206" s="310" t="e">
        <f t="shared" ca="1" si="112"/>
        <v>#N/A</v>
      </c>
      <c r="AD206" s="323" t="e">
        <f t="shared" ca="1" si="113"/>
        <v>#N/A</v>
      </c>
      <c r="AE206" s="324">
        <f t="shared" ca="1" si="92"/>
        <v>130.784068251565</v>
      </c>
      <c r="AG206" s="306">
        <f t="shared" ca="1" si="114"/>
        <v>78.57100550399494</v>
      </c>
      <c r="AH206" s="304">
        <f t="shared" ca="1" si="115"/>
        <v>87.841743671305309</v>
      </c>
    </row>
    <row r="207" spans="1:34" x14ac:dyDescent="0.2">
      <c r="A207" s="347">
        <f t="shared" ca="1" si="93"/>
        <v>0.01</v>
      </c>
      <c r="B207" s="304">
        <f t="shared" ca="1" si="94"/>
        <v>2.0300000000000007</v>
      </c>
      <c r="D207" s="306">
        <f t="shared" ca="1" si="95"/>
        <v>28.758045561877363</v>
      </c>
      <c r="E207" s="307">
        <f t="shared" ca="1" si="96"/>
        <v>73.244154820614838</v>
      </c>
      <c r="F207" s="304">
        <f t="shared" ca="1" si="97"/>
        <v>78.687555559473381</v>
      </c>
      <c r="G207" s="306">
        <f t="shared" ca="1" si="98"/>
        <v>47.118428916706577</v>
      </c>
      <c r="H207" s="307">
        <f t="shared" ca="1" si="99"/>
        <v>135.98142883070724</v>
      </c>
      <c r="I207" s="304">
        <f t="shared" ca="1" si="100"/>
        <v>143.91349947249364</v>
      </c>
      <c r="J207" s="306">
        <f t="shared" ca="1" si="101"/>
        <v>42.784618732708878</v>
      </c>
      <c r="K207" s="307">
        <f t="shared" ca="1" si="102"/>
        <v>132.14022033213104</v>
      </c>
      <c r="L207" s="304">
        <f t="shared" ca="1" si="87"/>
        <v>138.89406549427301</v>
      </c>
      <c r="M207" s="306">
        <f t="shared" ca="1" si="103"/>
        <v>1.2372372722574845</v>
      </c>
      <c r="N207" s="304">
        <f t="shared" ca="1" si="104"/>
        <v>70.888473956632239</v>
      </c>
      <c r="P207" s="310">
        <f t="shared" ca="1" si="105"/>
        <v>8</v>
      </c>
      <c r="Q207" s="304">
        <f t="shared" ca="1" si="106"/>
        <v>2026.1551857506365</v>
      </c>
      <c r="R207" s="306">
        <f t="shared" ca="1" si="107"/>
        <v>1.2184773257378607</v>
      </c>
      <c r="S207" s="307">
        <f t="shared" ca="1" si="108"/>
        <v>21.409987576018313</v>
      </c>
      <c r="T207" s="304">
        <f t="shared" ca="1" si="88"/>
        <v>210.03197812073967</v>
      </c>
      <c r="U207" s="311">
        <f t="shared" ca="1" si="89"/>
        <v>0</v>
      </c>
      <c r="V207" s="306">
        <f t="shared" ca="1" si="90"/>
        <v>1.208919069891697</v>
      </c>
      <c r="W207" s="304">
        <f t="shared" ca="1" si="91"/>
        <v>145.95768082297607</v>
      </c>
      <c r="Y207" s="314" t="str">
        <f t="shared" ca="1" si="109"/>
        <v/>
      </c>
      <c r="Z207" s="315" t="str">
        <f t="shared" ca="1" si="110"/>
        <v/>
      </c>
      <c r="AA207" s="316" t="str">
        <f t="shared" ca="1" si="111"/>
        <v/>
      </c>
      <c r="AC207" s="310" t="e">
        <f t="shared" ca="1" si="112"/>
        <v>#N/A</v>
      </c>
      <c r="AD207" s="323" t="e">
        <f t="shared" ca="1" si="113"/>
        <v>#N/A</v>
      </c>
      <c r="AE207" s="324">
        <f t="shared" ca="1" si="92"/>
        <v>132.14022033213104</v>
      </c>
      <c r="AG207" s="306">
        <f t="shared" ca="1" si="114"/>
        <v>78.622061488510354</v>
      </c>
      <c r="AH207" s="304">
        <f t="shared" ca="1" si="115"/>
        <v>87.892080516424642</v>
      </c>
    </row>
    <row r="208" spans="1:34" x14ac:dyDescent="0.2">
      <c r="A208" s="347">
        <f t="shared" ca="1" si="93"/>
        <v>0.01</v>
      </c>
      <c r="B208" s="304">
        <f t="shared" ca="1" si="94"/>
        <v>2.0400000000000005</v>
      </c>
      <c r="D208" s="306">
        <f t="shared" ca="1" si="95"/>
        <v>28.792940292438995</v>
      </c>
      <c r="E208" s="307">
        <f t="shared" ca="1" si="96"/>
        <v>73.284985363887259</v>
      </c>
      <c r="F208" s="304">
        <f t="shared" ca="1" si="97"/>
        <v>78.738316533115736</v>
      </c>
      <c r="G208" s="306">
        <f t="shared" ca="1" si="98"/>
        <v>47.406358319630968</v>
      </c>
      <c r="H208" s="307">
        <f t="shared" ca="1" si="99"/>
        <v>136.71427868434611</v>
      </c>
      <c r="I208" s="304">
        <f t="shared" ca="1" si="100"/>
        <v>144.70023084055637</v>
      </c>
      <c r="J208" s="306">
        <f t="shared" ca="1" si="101"/>
        <v>43.257242668890569</v>
      </c>
      <c r="K208" s="307">
        <f t="shared" ca="1" si="102"/>
        <v>133.50369886970631</v>
      </c>
      <c r="L208" s="304">
        <f t="shared" ca="1" si="87"/>
        <v>140.33683285299162</v>
      </c>
      <c r="M208" s="306">
        <f t="shared" ca="1" si="103"/>
        <v>1.2370153049293537</v>
      </c>
      <c r="N208" s="304">
        <f t="shared" ca="1" si="104"/>
        <v>70.875756165540551</v>
      </c>
      <c r="P208" s="310">
        <f t="shared" ca="1" si="105"/>
        <v>8</v>
      </c>
      <c r="Q208" s="304">
        <f t="shared" ca="1" si="106"/>
        <v>2027.7242061068705</v>
      </c>
      <c r="R208" s="306">
        <f t="shared" ca="1" si="107"/>
        <v>1.219420894000123</v>
      </c>
      <c r="S208" s="307">
        <f t="shared" ca="1" si="108"/>
        <v>21.397793367078311</v>
      </c>
      <c r="T208" s="304">
        <f t="shared" ca="1" si="88"/>
        <v>209.91235293103824</v>
      </c>
      <c r="U208" s="311">
        <f t="shared" ca="1" si="89"/>
        <v>0</v>
      </c>
      <c r="V208" s="306">
        <f t="shared" ca="1" si="90"/>
        <v>1.2087542403387472</v>
      </c>
      <c r="W208" s="304">
        <f t="shared" ca="1" si="91"/>
        <v>147.53773659417701</v>
      </c>
      <c r="Y208" s="314" t="str">
        <f t="shared" ca="1" si="109"/>
        <v/>
      </c>
      <c r="Z208" s="315" t="str">
        <f t="shared" ca="1" si="110"/>
        <v/>
      </c>
      <c r="AA208" s="316" t="str">
        <f t="shared" ca="1" si="111"/>
        <v/>
      </c>
      <c r="AC208" s="310" t="e">
        <f t="shared" ca="1" si="112"/>
        <v>#N/A</v>
      </c>
      <c r="AD208" s="323" t="e">
        <f t="shared" ca="1" si="113"/>
        <v>#N/A</v>
      </c>
      <c r="AE208" s="324">
        <f t="shared" ca="1" si="92"/>
        <v>133.50369886970631</v>
      </c>
      <c r="AG208" s="306">
        <f t="shared" ca="1" si="114"/>
        <v>78.672780340909725</v>
      </c>
      <c r="AH208" s="304">
        <f t="shared" ca="1" si="115"/>
        <v>87.942083232708299</v>
      </c>
    </row>
    <row r="209" spans="1:34" x14ac:dyDescent="0.2">
      <c r="A209" s="347">
        <f t="shared" ca="1" si="93"/>
        <v>0.01</v>
      </c>
      <c r="B209" s="304">
        <f t="shared" ca="1" si="94"/>
        <v>2.0500000000000003</v>
      </c>
      <c r="D209" s="306">
        <f t="shared" ca="1" si="95"/>
        <v>28.827656056684976</v>
      </c>
      <c r="E209" s="307">
        <f t="shared" ca="1" si="96"/>
        <v>73.325519024208148</v>
      </c>
      <c r="F209" s="304">
        <f t="shared" ca="1" si="97"/>
        <v>78.788739638935951</v>
      </c>
      <c r="G209" s="306">
        <f t="shared" ca="1" si="98"/>
        <v>47.694634880197817</v>
      </c>
      <c r="H209" s="307">
        <f t="shared" ca="1" si="99"/>
        <v>137.4475338745882</v>
      </c>
      <c r="I209" s="304">
        <f t="shared" ca="1" si="100"/>
        <v>145.48746600501863</v>
      </c>
      <c r="J209" s="306">
        <f t="shared" ca="1" si="101"/>
        <v>43.732747634889712</v>
      </c>
      <c r="K209" s="307">
        <f t="shared" ca="1" si="102"/>
        <v>134.87450793250099</v>
      </c>
      <c r="L209" s="304">
        <f t="shared" ca="1" si="87"/>
        <v>141.78746808421127</v>
      </c>
      <c r="M209" s="306">
        <f t="shared" ca="1" si="103"/>
        <v>1.2367943972557764</v>
      </c>
      <c r="N209" s="304">
        <f t="shared" ca="1" si="104"/>
        <v>70.863099088182523</v>
      </c>
      <c r="P209" s="310">
        <f t="shared" ca="1" si="105"/>
        <v>8</v>
      </c>
      <c r="Q209" s="304">
        <f t="shared" ca="1" si="106"/>
        <v>2029.2932264631045</v>
      </c>
      <c r="R209" s="306">
        <f t="shared" ca="1" si="107"/>
        <v>1.2203644622623853</v>
      </c>
      <c r="S209" s="307">
        <f t="shared" ca="1" si="108"/>
        <v>21.385589722455688</v>
      </c>
      <c r="T209" s="304">
        <f t="shared" ca="1" si="88"/>
        <v>209.79263517729029</v>
      </c>
      <c r="U209" s="311">
        <f t="shared" ca="1" si="89"/>
        <v>0</v>
      </c>
      <c r="V209" s="306">
        <f t="shared" ca="1" si="90"/>
        <v>1.2085885471099189</v>
      </c>
      <c r="W209" s="304">
        <f t="shared" ca="1" si="91"/>
        <v>149.12700368807452</v>
      </c>
      <c r="Y209" s="314" t="str">
        <f t="shared" ca="1" si="109"/>
        <v/>
      </c>
      <c r="Z209" s="315" t="str">
        <f t="shared" ca="1" si="110"/>
        <v/>
      </c>
      <c r="AA209" s="316" t="str">
        <f t="shared" ca="1" si="111"/>
        <v/>
      </c>
      <c r="AC209" s="310" t="e">
        <f t="shared" ca="1" si="112"/>
        <v>#N/A</v>
      </c>
      <c r="AD209" s="323" t="e">
        <f t="shared" ca="1" si="113"/>
        <v>#N/A</v>
      </c>
      <c r="AE209" s="324">
        <f t="shared" ca="1" si="92"/>
        <v>134.87450793250099</v>
      </c>
      <c r="AG209" s="306">
        <f t="shared" ca="1" si="114"/>
        <v>78.723161455354628</v>
      </c>
      <c r="AH209" s="304">
        <f t="shared" ca="1" si="115"/>
        <v>87.991751188091499</v>
      </c>
    </row>
    <row r="210" spans="1:34" x14ac:dyDescent="0.2">
      <c r="A210" s="347">
        <f t="shared" ca="1" si="93"/>
        <v>0.01</v>
      </c>
      <c r="B210" s="304">
        <f t="shared" ca="1" si="94"/>
        <v>2.06</v>
      </c>
      <c r="D210" s="306">
        <f t="shared" ca="1" si="95"/>
        <v>28.86219314675553</v>
      </c>
      <c r="E210" s="307">
        <f t="shared" ca="1" si="96"/>
        <v>73.36575509694589</v>
      </c>
      <c r="F210" s="304">
        <f t="shared" ca="1" si="97"/>
        <v>78.83882428211156</v>
      </c>
      <c r="G210" s="306">
        <f t="shared" ca="1" si="98"/>
        <v>47.98325681166537</v>
      </c>
      <c r="H210" s="307">
        <f t="shared" ca="1" si="99"/>
        <v>138.18119142555767</v>
      </c>
      <c r="I210" s="304">
        <f t="shared" ca="1" si="100"/>
        <v>146.27520158263616</v>
      </c>
      <c r="J210" s="306">
        <f t="shared" ca="1" si="101"/>
        <v>44.211137093349031</v>
      </c>
      <c r="K210" s="307">
        <f t="shared" ca="1" si="102"/>
        <v>136.25265155900172</v>
      </c>
      <c r="L210" s="304">
        <f t="shared" ca="1" si="87"/>
        <v>143.24597620856804</v>
      </c>
      <c r="M210" s="306">
        <f t="shared" ca="1" si="103"/>
        <v>1.2365745392652141</v>
      </c>
      <c r="N210" s="304">
        <f t="shared" ca="1" si="104"/>
        <v>70.850502153231062</v>
      </c>
      <c r="P210" s="310">
        <f t="shared" ca="1" si="105"/>
        <v>8</v>
      </c>
      <c r="Q210" s="304">
        <f t="shared" ca="1" si="106"/>
        <v>2030.8622468193387</v>
      </c>
      <c r="R210" s="306">
        <f t="shared" ca="1" si="107"/>
        <v>1.2213080305246475</v>
      </c>
      <c r="S210" s="307">
        <f t="shared" ca="1" si="108"/>
        <v>21.37337664215044</v>
      </c>
      <c r="T210" s="304">
        <f t="shared" ca="1" si="88"/>
        <v>209.67282485949582</v>
      </c>
      <c r="U210" s="311">
        <f t="shared" ca="1" si="89"/>
        <v>0</v>
      </c>
      <c r="V210" s="306">
        <f t="shared" ca="1" si="90"/>
        <v>1.2084219900745181</v>
      </c>
      <c r="W210" s="304">
        <f t="shared" ca="1" si="91"/>
        <v>150.72548441686718</v>
      </c>
      <c r="Y210" s="314" t="str">
        <f t="shared" ca="1" si="109"/>
        <v/>
      </c>
      <c r="Z210" s="315" t="str">
        <f t="shared" ca="1" si="110"/>
        <v/>
      </c>
      <c r="AA210" s="316" t="str">
        <f t="shared" ca="1" si="111"/>
        <v/>
      </c>
      <c r="AC210" s="310" t="e">
        <f t="shared" ca="1" si="112"/>
        <v>#N/A</v>
      </c>
      <c r="AD210" s="323" t="e">
        <f t="shared" ca="1" si="113"/>
        <v>#N/A</v>
      </c>
      <c r="AE210" s="324">
        <f t="shared" ca="1" si="92"/>
        <v>136.25265155900172</v>
      </c>
      <c r="AG210" s="306">
        <f t="shared" ca="1" si="114"/>
        <v>78.773204232611562</v>
      </c>
      <c r="AH210" s="304">
        <f t="shared" ca="1" si="115"/>
        <v>88.04108375745804</v>
      </c>
    </row>
    <row r="211" spans="1:34" x14ac:dyDescent="0.2">
      <c r="A211" s="347">
        <f t="shared" ca="1" si="93"/>
        <v>0.01</v>
      </c>
      <c r="B211" s="304">
        <f t="shared" ca="1" si="94"/>
        <v>2.0699999999999998</v>
      </c>
      <c r="D211" s="306">
        <f t="shared" ca="1" si="95"/>
        <v>28.896551848504917</v>
      </c>
      <c r="E211" s="307">
        <f t="shared" ca="1" si="96"/>
        <v>73.405692886149978</v>
      </c>
      <c r="F211" s="304">
        <f t="shared" ca="1" si="97"/>
        <v>78.888569874406414</v>
      </c>
      <c r="G211" s="306">
        <f t="shared" ca="1" si="98"/>
        <v>48.27222233015042</v>
      </c>
      <c r="H211" s="307">
        <f t="shared" ca="1" si="99"/>
        <v>138.91524835441916</v>
      </c>
      <c r="I211" s="304">
        <f t="shared" ca="1" si="100"/>
        <v>147.06343418423708</v>
      </c>
      <c r="J211" s="306">
        <f t="shared" ca="1" si="101"/>
        <v>44.692414489058109</v>
      </c>
      <c r="K211" s="307">
        <f t="shared" ca="1" si="102"/>
        <v>137.63813375790161</v>
      </c>
      <c r="L211" s="304">
        <f t="shared" ca="1" si="87"/>
        <v>144.71236221283857</v>
      </c>
      <c r="M211" s="306">
        <f t="shared" ca="1" si="103"/>
        <v>1.2363557211241747</v>
      </c>
      <c r="N211" s="304">
        <f t="shared" ca="1" si="104"/>
        <v>70.837964797268612</v>
      </c>
      <c r="P211" s="310">
        <f t="shared" ca="1" si="105"/>
        <v>8</v>
      </c>
      <c r="Q211" s="304">
        <f t="shared" ca="1" si="106"/>
        <v>2032.4312671755727</v>
      </c>
      <c r="R211" s="306">
        <f t="shared" ca="1" si="107"/>
        <v>1.2222515987869096</v>
      </c>
      <c r="S211" s="307">
        <f t="shared" ca="1" si="108"/>
        <v>21.361154126162571</v>
      </c>
      <c r="T211" s="304">
        <f t="shared" ca="1" si="88"/>
        <v>209.55292197765482</v>
      </c>
      <c r="U211" s="311">
        <f t="shared" ca="1" si="89"/>
        <v>0</v>
      </c>
      <c r="V211" s="306">
        <f t="shared" ca="1" si="90"/>
        <v>1.2082545691075079</v>
      </c>
      <c r="W211" s="304">
        <f t="shared" ca="1" si="91"/>
        <v>152.33318089369146</v>
      </c>
      <c r="Y211" s="314" t="str">
        <f t="shared" ca="1" si="109"/>
        <v/>
      </c>
      <c r="Z211" s="315" t="str">
        <f t="shared" ca="1" si="110"/>
        <v/>
      </c>
      <c r="AA211" s="316" t="str">
        <f t="shared" ca="1" si="111"/>
        <v/>
      </c>
      <c r="AC211" s="310" t="e">
        <f t="shared" ca="1" si="112"/>
        <v>#N/A</v>
      </c>
      <c r="AD211" s="323" t="e">
        <f t="shared" ca="1" si="113"/>
        <v>#N/A</v>
      </c>
      <c r="AE211" s="324">
        <f t="shared" ca="1" si="92"/>
        <v>137.63813375790161</v>
      </c>
      <c r="AG211" s="306">
        <f t="shared" ca="1" si="114"/>
        <v>78.822908080093001</v>
      </c>
      <c r="AH211" s="304">
        <f t="shared" ca="1" si="115"/>
        <v>88.090080322675192</v>
      </c>
    </row>
    <row r="212" spans="1:34" x14ac:dyDescent="0.2">
      <c r="A212" s="347">
        <f t="shared" ca="1" si="93"/>
        <v>0.01</v>
      </c>
      <c r="B212" s="304">
        <f t="shared" ca="1" si="94"/>
        <v>2.0799999999999996</v>
      </c>
      <c r="D212" s="306">
        <f t="shared" ca="1" si="95"/>
        <v>28.930732441686292</v>
      </c>
      <c r="E212" s="307">
        <f t="shared" ca="1" si="96"/>
        <v>73.44533170454261</v>
      </c>
      <c r="F212" s="304">
        <f t="shared" ca="1" si="97"/>
        <v>78.937975834212594</v>
      </c>
      <c r="G212" s="306">
        <f t="shared" ca="1" si="98"/>
        <v>48.561529654567281</v>
      </c>
      <c r="H212" s="307">
        <f t="shared" ca="1" si="99"/>
        <v>139.64970167146458</v>
      </c>
      <c r="I212" s="304">
        <f t="shared" ca="1" si="100"/>
        <v>147.85216041478893</v>
      </c>
      <c r="J212" s="306">
        <f t="shared" ca="1" si="101"/>
        <v>45.1765832489817</v>
      </c>
      <c r="K212" s="307">
        <f t="shared" ca="1" si="102"/>
        <v>139.03095850803103</v>
      </c>
      <c r="L212" s="304">
        <f t="shared" ca="1" si="87"/>
        <v>146.18663104988096</v>
      </c>
      <c r="M212" s="306">
        <f t="shared" ca="1" si="103"/>
        <v>1.2361379331346456</v>
      </c>
      <c r="N212" s="304">
        <f t="shared" ca="1" si="104"/>
        <v>70.825486464639951</v>
      </c>
      <c r="P212" s="310">
        <f t="shared" ca="1" si="105"/>
        <v>8</v>
      </c>
      <c r="Q212" s="304">
        <f t="shared" ca="1" si="106"/>
        <v>2034.0002875318069</v>
      </c>
      <c r="R212" s="306">
        <f t="shared" ca="1" si="107"/>
        <v>1.2231951670491721</v>
      </c>
      <c r="S212" s="307">
        <f t="shared" ca="1" si="108"/>
        <v>21.348922174492078</v>
      </c>
      <c r="T212" s="304">
        <f t="shared" ca="1" si="88"/>
        <v>209.43292653176729</v>
      </c>
      <c r="U212" s="311">
        <f t="shared" ca="1" si="89"/>
        <v>0</v>
      </c>
      <c r="V212" s="306">
        <f t="shared" ca="1" si="90"/>
        <v>1.2080862840895146</v>
      </c>
      <c r="W212" s="304">
        <f t="shared" ca="1" si="91"/>
        <v>153.95009503225901</v>
      </c>
      <c r="Y212" s="314" t="str">
        <f t="shared" ca="1" si="109"/>
        <v/>
      </c>
      <c r="Z212" s="315" t="str">
        <f t="shared" ca="1" si="110"/>
        <v/>
      </c>
      <c r="AA212" s="316" t="str">
        <f t="shared" ca="1" si="111"/>
        <v/>
      </c>
      <c r="AC212" s="310" t="e">
        <f t="shared" ca="1" si="112"/>
        <v>#N/A</v>
      </c>
      <c r="AD212" s="323" t="e">
        <f t="shared" ca="1" si="113"/>
        <v>#N/A</v>
      </c>
      <c r="AE212" s="324">
        <f t="shared" ca="1" si="92"/>
        <v>139.03095850803103</v>
      </c>
      <c r="AG212" s="306">
        <f t="shared" ca="1" si="114"/>
        <v>78.872272411898194</v>
      </c>
      <c r="AH212" s="304">
        <f t="shared" ca="1" si="115"/>
        <v>88.138740272628453</v>
      </c>
    </row>
    <row r="213" spans="1:34" x14ac:dyDescent="0.2">
      <c r="A213" s="347">
        <f t="shared" ca="1" si="93"/>
        <v>0.01</v>
      </c>
      <c r="B213" s="304">
        <f t="shared" ca="1" si="94"/>
        <v>2.0899999999999994</v>
      </c>
      <c r="D213" s="306">
        <f t="shared" ca="1" si="95"/>
        <v>28.964735200132019</v>
      </c>
      <c r="E213" s="307">
        <f t="shared" ca="1" si="96"/>
        <v>73.484670873510552</v>
      </c>
      <c r="F213" s="304">
        <f t="shared" ca="1" si="97"/>
        <v>78.987041586591516</v>
      </c>
      <c r="G213" s="306">
        <f t="shared" ca="1" si="98"/>
        <v>48.851177006568598</v>
      </c>
      <c r="H213" s="307">
        <f t="shared" ca="1" si="99"/>
        <v>140.3845483801997</v>
      </c>
      <c r="I213" s="304">
        <f t="shared" ca="1" si="100"/>
        <v>148.64137687346593</v>
      </c>
      <c r="J213" s="306">
        <f t="shared" ca="1" si="101"/>
        <v>45.66364678228738</v>
      </c>
      <c r="K213" s="307">
        <f t="shared" ca="1" si="102"/>
        <v>140.43112975828936</v>
      </c>
      <c r="L213" s="304">
        <f t="shared" ca="1" si="87"/>
        <v>147.6687876385765</v>
      </c>
      <c r="M213" s="306">
        <f t="shared" ca="1" si="103"/>
        <v>1.2359211657315847</v>
      </c>
      <c r="N213" s="304">
        <f t="shared" ca="1" si="104"/>
        <v>70.813066607308556</v>
      </c>
      <c r="P213" s="310">
        <f t="shared" ca="1" si="105"/>
        <v>8</v>
      </c>
      <c r="Q213" s="304">
        <f t="shared" ca="1" si="106"/>
        <v>2035.5693078880408</v>
      </c>
      <c r="R213" s="306">
        <f t="shared" ca="1" si="107"/>
        <v>1.2241387353114341</v>
      </c>
      <c r="S213" s="307">
        <f t="shared" ca="1" si="108"/>
        <v>21.336680787138963</v>
      </c>
      <c r="T213" s="304">
        <f t="shared" ca="1" si="88"/>
        <v>209.31283852183324</v>
      </c>
      <c r="U213" s="311">
        <f t="shared" ca="1" si="89"/>
        <v>0</v>
      </c>
      <c r="V213" s="306">
        <f t="shared" ca="1" si="90"/>
        <v>1.2079171349068367</v>
      </c>
      <c r="W213" s="304">
        <f t="shared" ca="1" si="91"/>
        <v>155.57622854650253</v>
      </c>
      <c r="Y213" s="314" t="str">
        <f t="shared" ca="1" si="109"/>
        <v/>
      </c>
      <c r="Z213" s="315" t="str">
        <f t="shared" ca="1" si="110"/>
        <v/>
      </c>
      <c r="AA213" s="316" t="str">
        <f t="shared" ca="1" si="111"/>
        <v/>
      </c>
      <c r="AC213" s="310" t="e">
        <f t="shared" ca="1" si="112"/>
        <v>#N/A</v>
      </c>
      <c r="AD213" s="323" t="e">
        <f t="shared" ca="1" si="113"/>
        <v>#N/A</v>
      </c>
      <c r="AE213" s="324">
        <f t="shared" ca="1" si="92"/>
        <v>140.43112975828936</v>
      </c>
      <c r="AG213" s="306">
        <f t="shared" ca="1" si="114"/>
        <v>78.921296648853357</v>
      </c>
      <c r="AH213" s="304">
        <f t="shared" ca="1" si="115"/>
        <v>88.18706300325583</v>
      </c>
    </row>
    <row r="214" spans="1:34" x14ac:dyDescent="0.2">
      <c r="A214" s="347">
        <f t="shared" ca="1" si="93"/>
        <v>0.01</v>
      </c>
      <c r="B214" s="304">
        <f t="shared" ca="1" si="94"/>
        <v>2.0999999999999992</v>
      </c>
      <c r="D214" s="306">
        <f t="shared" ca="1" si="95"/>
        <v>28.998560391930255</v>
      </c>
      <c r="E214" s="307">
        <f t="shared" ca="1" si="96"/>
        <v>73.523709723098165</v>
      </c>
      <c r="F214" s="304">
        <f t="shared" ca="1" si="97"/>
        <v>79.035766563315022</v>
      </c>
      <c r="G214" s="306">
        <f t="shared" ca="1" si="98"/>
        <v>49.141162610487903</v>
      </c>
      <c r="H214" s="307">
        <f t="shared" ca="1" si="99"/>
        <v>141.1197854774307</v>
      </c>
      <c r="I214" s="304">
        <f t="shared" ca="1" si="100"/>
        <v>149.43108015371661</v>
      </c>
      <c r="J214" s="306">
        <f t="shared" ca="1" si="101"/>
        <v>46.153608480372661</v>
      </c>
      <c r="K214" s="307">
        <f t="shared" ca="1" si="102"/>
        <v>141.8386514275775</v>
      </c>
      <c r="L214" s="304">
        <f t="shared" ca="1" si="87"/>
        <v>149.15883686377202</v>
      </c>
      <c r="M214" s="306">
        <f t="shared" ca="1" si="103"/>
        <v>1.2357054094804698</v>
      </c>
      <c r="N214" s="304">
        <f t="shared" ca="1" si="104"/>
        <v>70.800704684716109</v>
      </c>
      <c r="P214" s="310">
        <f t="shared" ca="1" si="105"/>
        <v>8</v>
      </c>
      <c r="Q214" s="304">
        <f t="shared" ca="1" si="106"/>
        <v>2037.1383282442748</v>
      </c>
      <c r="R214" s="306">
        <f t="shared" ca="1" si="107"/>
        <v>1.2250823035736964</v>
      </c>
      <c r="S214" s="307">
        <f t="shared" ca="1" si="108"/>
        <v>21.324429964103228</v>
      </c>
      <c r="T214" s="304">
        <f t="shared" ca="1" si="88"/>
        <v>209.19265794785267</v>
      </c>
      <c r="U214" s="311">
        <f t="shared" ca="1" si="89"/>
        <v>0</v>
      </c>
      <c r="V214" s="306">
        <f t="shared" ca="1" si="90"/>
        <v>1.2077471214514504</v>
      </c>
      <c r="W214" s="304">
        <f t="shared" ca="1" si="91"/>
        <v>157.21158295023022</v>
      </c>
      <c r="Y214" s="314" t="str">
        <f t="shared" ca="1" si="109"/>
        <v/>
      </c>
      <c r="Z214" s="315" t="str">
        <f t="shared" ca="1" si="110"/>
        <v/>
      </c>
      <c r="AA214" s="316" t="str">
        <f t="shared" ca="1" si="111"/>
        <v/>
      </c>
      <c r="AC214" s="310" t="e">
        <f t="shared" ca="1" si="112"/>
        <v>#N/A</v>
      </c>
      <c r="AD214" s="323" t="e">
        <f t="shared" ca="1" si="113"/>
        <v>#N/A</v>
      </c>
      <c r="AE214" s="324">
        <f t="shared" ca="1" si="92"/>
        <v>141.8386514275775</v>
      </c>
      <c r="AG214" s="306">
        <f t="shared" ca="1" si="114"/>
        <v>78.969980218551683</v>
      </c>
      <c r="AH214" s="304">
        <f t="shared" ca="1" si="115"/>
        <v>88.235047917582122</v>
      </c>
    </row>
    <row r="215" spans="1:34" x14ac:dyDescent="0.2">
      <c r="A215" s="347">
        <f t="shared" ca="1" si="93"/>
        <v>0.01</v>
      </c>
      <c r="B215" s="304">
        <f t="shared" ca="1" si="94"/>
        <v>2.109999999999999</v>
      </c>
      <c r="D215" s="306">
        <f t="shared" ca="1" si="95"/>
        <v>29.032208279597526</v>
      </c>
      <c r="E215" s="307">
        <f t="shared" ca="1" si="96"/>
        <v>73.56244759200078</v>
      </c>
      <c r="F215" s="304">
        <f t="shared" ca="1" si="97"/>
        <v>79.084150202905974</v>
      </c>
      <c r="G215" s="306">
        <f t="shared" ca="1" si="98"/>
        <v>49.431484693283878</v>
      </c>
      <c r="H215" s="307">
        <f t="shared" ca="1" si="99"/>
        <v>141.85540995335072</v>
      </c>
      <c r="I215" s="304">
        <f t="shared" ca="1" si="100"/>
        <v>150.22126684333199</v>
      </c>
      <c r="J215" s="306">
        <f t="shared" ca="1" si="101"/>
        <v>46.646471716891519</v>
      </c>
      <c r="K215" s="307">
        <f t="shared" ca="1" si="102"/>
        <v>143.25352740473141</v>
      </c>
      <c r="L215" s="304">
        <f t="shared" ca="1" si="87"/>
        <v>150.65678357622301</v>
      </c>
      <c r="M215" s="306">
        <f t="shared" ca="1" si="103"/>
        <v>1.2354906550749056</v>
      </c>
      <c r="N215" s="304">
        <f t="shared" ca="1" si="104"/>
        <v>70.788400163645434</v>
      </c>
      <c r="P215" s="310">
        <f t="shared" ca="1" si="105"/>
        <v>8</v>
      </c>
      <c r="Q215" s="304">
        <f t="shared" ca="1" si="106"/>
        <v>2038.707348600509</v>
      </c>
      <c r="R215" s="306">
        <f t="shared" ca="1" si="107"/>
        <v>1.2260258718359587</v>
      </c>
      <c r="S215" s="307">
        <f t="shared" ca="1" si="108"/>
        <v>21.312169705384868</v>
      </c>
      <c r="T215" s="304">
        <f t="shared" ca="1" si="88"/>
        <v>209.07238480982556</v>
      </c>
      <c r="U215" s="311">
        <f t="shared" ca="1" si="89"/>
        <v>0</v>
      </c>
      <c r="V215" s="306">
        <f t="shared" ca="1" si="90"/>
        <v>1.2075762436210169</v>
      </c>
      <c r="W215" s="304">
        <f t="shared" ca="1" si="91"/>
        <v>158.85615955679032</v>
      </c>
      <c r="Y215" s="314" t="str">
        <f t="shared" ca="1" si="109"/>
        <v/>
      </c>
      <c r="Z215" s="315" t="str">
        <f t="shared" ca="1" si="110"/>
        <v/>
      </c>
      <c r="AA215" s="316" t="str">
        <f t="shared" ca="1" si="111"/>
        <v/>
      </c>
      <c r="AC215" s="310" t="e">
        <f t="shared" ca="1" si="112"/>
        <v>#N/A</v>
      </c>
      <c r="AD215" s="323" t="e">
        <f t="shared" ca="1" si="113"/>
        <v>#N/A</v>
      </c>
      <c r="AE215" s="324">
        <f t="shared" ca="1" si="92"/>
        <v>143.25352740473141</v>
      </c>
      <c r="AG215" s="306">
        <f t="shared" ca="1" si="114"/>
        <v>79.018322555392871</v>
      </c>
      <c r="AH215" s="304">
        <f t="shared" ca="1" si="115"/>
        <v>88.282694425752823</v>
      </c>
    </row>
    <row r="216" spans="1:34" x14ac:dyDescent="0.2">
      <c r="A216" s="347">
        <f t="shared" ca="1" si="93"/>
        <v>0.01</v>
      </c>
      <c r="B216" s="304">
        <f t="shared" ca="1" si="94"/>
        <v>2.1199999999999988</v>
      </c>
      <c r="D216" s="306">
        <f t="shared" ca="1" si="95"/>
        <v>29.065679120247392</v>
      </c>
      <c r="E216" s="307">
        <f t="shared" ca="1" si="96"/>
        <v>73.600883827558533</v>
      </c>
      <c r="F216" s="304">
        <f t="shared" ca="1" si="97"/>
        <v>79.13219195067802</v>
      </c>
      <c r="G216" s="306">
        <f t="shared" ca="1" si="98"/>
        <v>49.72214148448635</v>
      </c>
      <c r="H216" s="307">
        <f t="shared" ca="1" si="99"/>
        <v>142.5914187916263</v>
      </c>
      <c r="I216" s="304">
        <f t="shared" ca="1" si="100"/>
        <v>151.01193352451401</v>
      </c>
      <c r="J216" s="306">
        <f t="shared" ca="1" si="101"/>
        <v>47.142239847780367</v>
      </c>
      <c r="K216" s="307">
        <f t="shared" ca="1" si="102"/>
        <v>144.67576154845631</v>
      </c>
      <c r="L216" s="304">
        <f t="shared" ca="1" si="87"/>
        <v>152.16263259253711</v>
      </c>
      <c r="M216" s="306">
        <f t="shared" ca="1" si="103"/>
        <v>1.2352768933342859</v>
      </c>
      <c r="N216" s="304">
        <f t="shared" ca="1" si="104"/>
        <v>70.776152518086562</v>
      </c>
      <c r="P216" s="310">
        <f t="shared" ca="1" si="105"/>
        <v>8</v>
      </c>
      <c r="Q216" s="304">
        <f t="shared" ca="1" si="106"/>
        <v>2040.276368956743</v>
      </c>
      <c r="R216" s="306">
        <f t="shared" ca="1" si="107"/>
        <v>1.226969440098221</v>
      </c>
      <c r="S216" s="307">
        <f t="shared" ca="1" si="108"/>
        <v>21.299900010983887</v>
      </c>
      <c r="T216" s="304">
        <f t="shared" ca="1" si="88"/>
        <v>208.95201910775194</v>
      </c>
      <c r="U216" s="311">
        <f t="shared" ca="1" si="89"/>
        <v>0</v>
      </c>
      <c r="V216" s="306">
        <f t="shared" ca="1" si="90"/>
        <v>1.2074045013188899</v>
      </c>
      <c r="W216" s="304">
        <f t="shared" ca="1" si="91"/>
        <v>160.50995947874378</v>
      </c>
      <c r="Y216" s="314" t="str">
        <f t="shared" ca="1" si="109"/>
        <v/>
      </c>
      <c r="Z216" s="315" t="str">
        <f t="shared" ca="1" si="110"/>
        <v/>
      </c>
      <c r="AA216" s="316" t="str">
        <f t="shared" ca="1" si="111"/>
        <v/>
      </c>
      <c r="AC216" s="310" t="e">
        <f t="shared" ca="1" si="112"/>
        <v>#N/A</v>
      </c>
      <c r="AD216" s="323" t="e">
        <f t="shared" ca="1" si="113"/>
        <v>#N/A</v>
      </c>
      <c r="AE216" s="324">
        <f t="shared" ca="1" si="92"/>
        <v>144.67576154845631</v>
      </c>
      <c r="AG216" s="306">
        <f t="shared" ca="1" si="114"/>
        <v>79.066323100622157</v>
      </c>
      <c r="AH216" s="304">
        <f t="shared" ca="1" si="115"/>
        <v>88.330001945067622</v>
      </c>
    </row>
    <row r="217" spans="1:34" x14ac:dyDescent="0.2">
      <c r="A217" s="347">
        <f t="shared" ca="1" si="93"/>
        <v>0.01</v>
      </c>
      <c r="B217" s="304">
        <f t="shared" ca="1" si="94"/>
        <v>2.1299999999999986</v>
      </c>
      <c r="D217" s="306">
        <f t="shared" ca="1" si="95"/>
        <v>29.098973165755503</v>
      </c>
      <c r="E217" s="307">
        <f t="shared" ca="1" si="96"/>
        <v>73.639017785751193</v>
      </c>
      <c r="F217" s="304">
        <f t="shared" ca="1" si="97"/>
        <v>79.179891258775669</v>
      </c>
      <c r="G217" s="306">
        <f t="shared" ca="1" si="98"/>
        <v>50.013131216143904</v>
      </c>
      <c r="H217" s="307">
        <f t="shared" ca="1" si="99"/>
        <v>143.32780896948381</v>
      </c>
      <c r="I217" s="304">
        <f t="shared" ca="1" si="100"/>
        <v>151.80307677394444</v>
      </c>
      <c r="J217" s="306">
        <f t="shared" ca="1" si="101"/>
        <v>47.640916211283518</v>
      </c>
      <c r="K217" s="307">
        <f t="shared" ca="1" si="102"/>
        <v>146.10535768726186</v>
      </c>
      <c r="L217" s="304">
        <f t="shared" ca="1" si="87"/>
        <v>153.67638869511887</v>
      </c>
      <c r="M217" s="306">
        <f t="shared" ca="1" si="103"/>
        <v>1.2350641152015078</v>
      </c>
      <c r="N217" s="304">
        <f t="shared" ca="1" si="104"/>
        <v>70.763961229105703</v>
      </c>
      <c r="P217" s="310">
        <f t="shared" ca="1" si="105"/>
        <v>8</v>
      </c>
      <c r="Q217" s="304">
        <f t="shared" ca="1" si="106"/>
        <v>2041.845389312977</v>
      </c>
      <c r="R217" s="306">
        <f t="shared" ca="1" si="107"/>
        <v>1.227913008360483</v>
      </c>
      <c r="S217" s="307">
        <f t="shared" ca="1" si="108"/>
        <v>21.287620880900281</v>
      </c>
      <c r="T217" s="304">
        <f t="shared" ca="1" si="88"/>
        <v>208.83156084163176</v>
      </c>
      <c r="U217" s="311">
        <f t="shared" ca="1" si="89"/>
        <v>0</v>
      </c>
      <c r="V217" s="306">
        <f t="shared" ca="1" si="90"/>
        <v>1.2072318944541207</v>
      </c>
      <c r="W217" s="304">
        <f t="shared" ca="1" si="91"/>
        <v>162.17298362754696</v>
      </c>
      <c r="Y217" s="314" t="str">
        <f t="shared" ca="1" si="109"/>
        <v/>
      </c>
      <c r="Z217" s="315" t="str">
        <f t="shared" ca="1" si="110"/>
        <v/>
      </c>
      <c r="AA217" s="316" t="str">
        <f t="shared" ca="1" si="111"/>
        <v/>
      </c>
      <c r="AC217" s="310" t="e">
        <f t="shared" ca="1" si="112"/>
        <v>#N/A</v>
      </c>
      <c r="AD217" s="323" t="e">
        <f t="shared" ca="1" si="113"/>
        <v>#N/A</v>
      </c>
      <c r="AE217" s="324">
        <f t="shared" ca="1" si="92"/>
        <v>146.10535768726186</v>
      </c>
      <c r="AG217" s="306">
        <f t="shared" ca="1" si="114"/>
        <v>79.113981302369282</v>
      </c>
      <c r="AH217" s="304">
        <f t="shared" ca="1" si="115"/>
        <v>88.376969900013989</v>
      </c>
    </row>
    <row r="218" spans="1:34" x14ac:dyDescent="0.2">
      <c r="A218" s="347">
        <f t="shared" ca="1" si="93"/>
        <v>0.01</v>
      </c>
      <c r="B218" s="304">
        <f t="shared" ca="1" si="94"/>
        <v>2.1399999999999983</v>
      </c>
      <c r="D218" s="306">
        <f t="shared" ca="1" si="95"/>
        <v>29.132090662921058</v>
      </c>
      <c r="E218" s="307">
        <f t="shared" ca="1" si="96"/>
        <v>73.676848831193126</v>
      </c>
      <c r="F218" s="304">
        <f t="shared" ca="1" si="97"/>
        <v>79.227247586213267</v>
      </c>
      <c r="G218" s="306">
        <f t="shared" ca="1" si="98"/>
        <v>50.304452122773114</v>
      </c>
      <c r="H218" s="307">
        <f t="shared" ca="1" si="99"/>
        <v>144.06457745779574</v>
      </c>
      <c r="I218" s="304">
        <f t="shared" ca="1" si="100"/>
        <v>152.59469316285413</v>
      </c>
      <c r="J218" s="306">
        <f t="shared" ca="1" si="101"/>
        <v>48.1425041279781</v>
      </c>
      <c r="K218" s="307">
        <f t="shared" ca="1" si="102"/>
        <v>147.54231961939826</v>
      </c>
      <c r="L218" s="304">
        <f t="shared" ca="1" si="87"/>
        <v>155.19805663211463</v>
      </c>
      <c r="M218" s="306">
        <f t="shared" ca="1" si="103"/>
        <v>1.2348523117407402</v>
      </c>
      <c r="N218" s="304">
        <f t="shared" ca="1" si="104"/>
        <v>70.75182578471744</v>
      </c>
      <c r="P218" s="310">
        <f t="shared" ca="1" si="105"/>
        <v>8</v>
      </c>
      <c r="Q218" s="304">
        <f t="shared" ca="1" si="106"/>
        <v>2043.4144096692112</v>
      </c>
      <c r="R218" s="306">
        <f t="shared" ca="1" si="107"/>
        <v>1.2288565766227453</v>
      </c>
      <c r="S218" s="307">
        <f t="shared" ca="1" si="108"/>
        <v>21.275332315134055</v>
      </c>
      <c r="T218" s="304">
        <f t="shared" ca="1" si="88"/>
        <v>208.71101001146508</v>
      </c>
      <c r="U218" s="311">
        <f t="shared" ca="1" si="89"/>
        <v>0</v>
      </c>
      <c r="V218" s="306">
        <f t="shared" ca="1" si="90"/>
        <v>1.207058422941466</v>
      </c>
      <c r="W218" s="304">
        <f t="shared" ca="1" si="91"/>
        <v>163.84523271324281</v>
      </c>
      <c r="Y218" s="314" t="str">
        <f t="shared" ca="1" si="109"/>
        <v/>
      </c>
      <c r="Z218" s="315" t="str">
        <f t="shared" ca="1" si="110"/>
        <v/>
      </c>
      <c r="AA218" s="316" t="str">
        <f t="shared" ca="1" si="111"/>
        <v/>
      </c>
      <c r="AC218" s="310" t="e">
        <f t="shared" ca="1" si="112"/>
        <v>#N/A</v>
      </c>
      <c r="AD218" s="323" t="e">
        <f t="shared" ca="1" si="113"/>
        <v>#N/A</v>
      </c>
      <c r="AE218" s="324">
        <f t="shared" ca="1" si="92"/>
        <v>147.54231961939826</v>
      </c>
      <c r="AG218" s="306">
        <f t="shared" ca="1" si="114"/>
        <v>79.161296615686567</v>
      </c>
      <c r="AH218" s="304">
        <f t="shared" ca="1" si="115"/>
        <v>88.423597722300045</v>
      </c>
    </row>
    <row r="219" spans="1:34" x14ac:dyDescent="0.2">
      <c r="A219" s="347">
        <f t="shared" ca="1" si="93"/>
        <v>0.01</v>
      </c>
      <c r="B219" s="304">
        <f t="shared" ca="1" si="94"/>
        <v>2.1499999999999981</v>
      </c>
      <c r="D219" s="306">
        <f t="shared" ca="1" si="95"/>
        <v>29.165031853624694</v>
      </c>
      <c r="E219" s="307">
        <f t="shared" ca="1" si="96"/>
        <v>73.714376337129124</v>
      </c>
      <c r="F219" s="304">
        <f t="shared" ca="1" si="97"/>
        <v>79.274260398914137</v>
      </c>
      <c r="G219" s="306">
        <f t="shared" ca="1" si="98"/>
        <v>50.596102441309363</v>
      </c>
      <c r="H219" s="307">
        <f t="shared" ca="1" si="99"/>
        <v>144.80172122116701</v>
      </c>
      <c r="I219" s="304">
        <f t="shared" ca="1" si="100"/>
        <v>153.38677925709257</v>
      </c>
      <c r="J219" s="306">
        <f t="shared" ca="1" si="101"/>
        <v>48.647006900798509</v>
      </c>
      <c r="K219" s="307">
        <f t="shared" ca="1" si="102"/>
        <v>148.98665111279308</v>
      </c>
      <c r="L219" s="304">
        <f t="shared" ca="1" si="87"/>
        <v>156.72764111735833</v>
      </c>
      <c r="M219" s="306">
        <f t="shared" ca="1" si="103"/>
        <v>1.2346414741352407</v>
      </c>
      <c r="N219" s="304">
        <f t="shared" ca="1" si="104"/>
        <v>70.739745679759679</v>
      </c>
      <c r="P219" s="310">
        <f t="shared" ca="1" si="105"/>
        <v>8</v>
      </c>
      <c r="Q219" s="304">
        <f t="shared" ca="1" si="106"/>
        <v>2044.9834300254452</v>
      </c>
      <c r="R219" s="306">
        <f t="shared" ca="1" si="107"/>
        <v>1.2298001448850076</v>
      </c>
      <c r="S219" s="307">
        <f t="shared" ca="1" si="108"/>
        <v>21.263034313685203</v>
      </c>
      <c r="T219" s="304">
        <f t="shared" ca="1" si="88"/>
        <v>208.59036661725185</v>
      </c>
      <c r="U219" s="311">
        <f t="shared" ca="1" si="89"/>
        <v>0</v>
      </c>
      <c r="V219" s="306">
        <f t="shared" ca="1" si="90"/>
        <v>1.2068840867013932</v>
      </c>
      <c r="W219" s="304">
        <f t="shared" ca="1" si="91"/>
        <v>165.52670724416174</v>
      </c>
      <c r="Y219" s="314" t="str">
        <f t="shared" ca="1" si="109"/>
        <v/>
      </c>
      <c r="Z219" s="315" t="str">
        <f t="shared" ca="1" si="110"/>
        <v/>
      </c>
      <c r="AA219" s="316" t="str">
        <f t="shared" ca="1" si="111"/>
        <v/>
      </c>
      <c r="AC219" s="310" t="e">
        <f t="shared" ca="1" si="112"/>
        <v>#N/A</v>
      </c>
      <c r="AD219" s="323" t="e">
        <f t="shared" ca="1" si="113"/>
        <v>#N/A</v>
      </c>
      <c r="AE219" s="324">
        <f t="shared" ca="1" si="92"/>
        <v>148.98665111279308</v>
      </c>
      <c r="AG219" s="306">
        <f t="shared" ca="1" si="114"/>
        <v>79.208268502587217</v>
      </c>
      <c r="AH219" s="304">
        <f t="shared" ca="1" si="115"/>
        <v>88.469884850887638</v>
      </c>
    </row>
    <row r="220" spans="1:34" x14ac:dyDescent="0.2">
      <c r="A220" s="347">
        <f t="shared" ca="1" si="93"/>
        <v>0.01</v>
      </c>
      <c r="B220" s="304">
        <f t="shared" ca="1" si="94"/>
        <v>2.1599999999999979</v>
      </c>
      <c r="D220" s="306">
        <f t="shared" ca="1" si="95"/>
        <v>29.197796974982985</v>
      </c>
      <c r="E220" s="307">
        <f t="shared" ca="1" si="96"/>
        <v>73.751599685430364</v>
      </c>
      <c r="F220" s="304">
        <f t="shared" ca="1" si="97"/>
        <v>79.320929169748752</v>
      </c>
      <c r="G220" s="306">
        <f t="shared" ca="1" si="98"/>
        <v>50.888080411059192</v>
      </c>
      <c r="H220" s="307">
        <f t="shared" ca="1" si="99"/>
        <v>145.53923721802133</v>
      </c>
      <c r="I220" s="304">
        <f t="shared" ca="1" si="100"/>
        <v>154.17933161719799</v>
      </c>
      <c r="J220" s="306">
        <f t="shared" ca="1" si="101"/>
        <v>49.154427815060352</v>
      </c>
      <c r="K220" s="307">
        <f t="shared" ca="1" si="102"/>
        <v>150.43835590498904</v>
      </c>
      <c r="L220" s="304">
        <f t="shared" ca="1" si="87"/>
        <v>158.26514683031806</v>
      </c>
      <c r="M220" s="306">
        <f t="shared" ca="1" si="103"/>
        <v>1.2344315936852246</v>
      </c>
      <c r="N220" s="304">
        <f t="shared" ca="1" si="104"/>
        <v>70.727720415771458</v>
      </c>
      <c r="P220" s="310">
        <f t="shared" ca="1" si="105"/>
        <v>8</v>
      </c>
      <c r="Q220" s="304">
        <f t="shared" ca="1" si="106"/>
        <v>2046.5524503816791</v>
      </c>
      <c r="R220" s="306">
        <f t="shared" ca="1" si="107"/>
        <v>1.2307437131472698</v>
      </c>
      <c r="S220" s="307">
        <f t="shared" ca="1" si="108"/>
        <v>21.250726876553731</v>
      </c>
      <c r="T220" s="304">
        <f t="shared" ca="1" si="88"/>
        <v>208.46963065899212</v>
      </c>
      <c r="U220" s="311">
        <f t="shared" ca="1" si="89"/>
        <v>0</v>
      </c>
      <c r="V220" s="306">
        <f t="shared" ca="1" si="90"/>
        <v>1.2067088856600872</v>
      </c>
      <c r="W220" s="304">
        <f t="shared" ca="1" si="91"/>
        <v>167.21740752663166</v>
      </c>
      <c r="Y220" s="314" t="str">
        <f t="shared" ca="1" si="109"/>
        <v/>
      </c>
      <c r="Z220" s="315" t="str">
        <f t="shared" ca="1" si="110"/>
        <v/>
      </c>
      <c r="AA220" s="316" t="str">
        <f t="shared" ca="1" si="111"/>
        <v/>
      </c>
      <c r="AC220" s="310" t="e">
        <f t="shared" ca="1" si="112"/>
        <v>#N/A</v>
      </c>
      <c r="AD220" s="323" t="e">
        <f t="shared" ca="1" si="113"/>
        <v>#N/A</v>
      </c>
      <c r="AE220" s="324">
        <f t="shared" ca="1" si="92"/>
        <v>150.43835590498904</v>
      </c>
      <c r="AG220" s="306">
        <f t="shared" ca="1" si="114"/>
        <v>79.254896432082617</v>
      </c>
      <c r="AH220" s="304">
        <f t="shared" ca="1" si="115"/>
        <v>88.515830732024668</v>
      </c>
    </row>
    <row r="221" spans="1:34" x14ac:dyDescent="0.2">
      <c r="A221" s="347">
        <f t="shared" ca="1" si="93"/>
        <v>0.01</v>
      </c>
      <c r="B221" s="304">
        <f t="shared" ca="1" si="94"/>
        <v>2.1699999999999977</v>
      </c>
      <c r="D221" s="306">
        <f t="shared" ca="1" si="95"/>
        <v>29.23038625949961</v>
      </c>
      <c r="E221" s="307">
        <f t="shared" ca="1" si="96"/>
        <v>73.788518266591396</v>
      </c>
      <c r="F221" s="304">
        <f t="shared" ca="1" si="97"/>
        <v>79.367253378573182</v>
      </c>
      <c r="G221" s="306">
        <f t="shared" ca="1" si="98"/>
        <v>51.180384273654191</v>
      </c>
      <c r="H221" s="307">
        <f t="shared" ca="1" si="99"/>
        <v>146.27712240068723</v>
      </c>
      <c r="I221" s="304">
        <f t="shared" ca="1" si="100"/>
        <v>154.9723467984677</v>
      </c>
      <c r="J221" s="306">
        <f t="shared" ca="1" si="101"/>
        <v>49.664770138483917</v>
      </c>
      <c r="K221" s="307">
        <f t="shared" ca="1" si="102"/>
        <v>151.89743770308257</v>
      </c>
      <c r="L221" s="304">
        <f t="shared" ca="1" si="87"/>
        <v>159.81057841604323</v>
      </c>
      <c r="M221" s="306">
        <f t="shared" ca="1" si="103"/>
        <v>1.2342226618057788</v>
      </c>
      <c r="N221" s="304">
        <f t="shared" ca="1" si="104"/>
        <v>70.715749500873471</v>
      </c>
      <c r="P221" s="310">
        <f t="shared" ca="1" si="105"/>
        <v>8</v>
      </c>
      <c r="Q221" s="304">
        <f t="shared" ca="1" si="106"/>
        <v>2048.1214707379131</v>
      </c>
      <c r="R221" s="306">
        <f t="shared" ca="1" si="107"/>
        <v>1.2316872814095319</v>
      </c>
      <c r="S221" s="307">
        <f t="shared" ca="1" si="108"/>
        <v>21.238410003739634</v>
      </c>
      <c r="T221" s="304">
        <f t="shared" ca="1" si="88"/>
        <v>208.34880213668583</v>
      </c>
      <c r="U221" s="311">
        <f t="shared" ca="1" si="89"/>
        <v>0</v>
      </c>
      <c r="V221" s="306">
        <f t="shared" ca="1" si="90"/>
        <v>1.2065328197494554</v>
      </c>
      <c r="W221" s="304">
        <f t="shared" ca="1" si="91"/>
        <v>168.91733366469737</v>
      </c>
      <c r="Y221" s="314" t="str">
        <f t="shared" ca="1" si="109"/>
        <v/>
      </c>
      <c r="Z221" s="315" t="str">
        <f t="shared" ca="1" si="110"/>
        <v/>
      </c>
      <c r="AA221" s="316" t="str">
        <f t="shared" ca="1" si="111"/>
        <v/>
      </c>
      <c r="AC221" s="310" t="e">
        <f t="shared" ca="1" si="112"/>
        <v>#N/A</v>
      </c>
      <c r="AD221" s="323" t="e">
        <f t="shared" ca="1" si="113"/>
        <v>#N/A</v>
      </c>
      <c r="AE221" s="324">
        <f t="shared" ca="1" si="92"/>
        <v>151.89743770308257</v>
      </c>
      <c r="AG221" s="306">
        <f t="shared" ca="1" si="114"/>
        <v>79.30117988021982</v>
      </c>
      <c r="AH221" s="304">
        <f t="shared" ca="1" si="115"/>
        <v>88.561434819277622</v>
      </c>
    </row>
    <row r="222" spans="1:34" x14ac:dyDescent="0.2">
      <c r="A222" s="347">
        <f t="shared" ca="1" si="93"/>
        <v>0.01</v>
      </c>
      <c r="B222" s="304">
        <f t="shared" ca="1" si="94"/>
        <v>2.1799999999999975</v>
      </c>
      <c r="D222" s="306">
        <f t="shared" ca="1" si="95"/>
        <v>29.262799935213298</v>
      </c>
      <c r="E222" s="307">
        <f t="shared" ca="1" si="96"/>
        <v>73.825131479726934</v>
      </c>
      <c r="F222" s="304">
        <f t="shared" ca="1" si="97"/>
        <v>79.413232512266418</v>
      </c>
      <c r="G222" s="306">
        <f t="shared" ca="1" si="98"/>
        <v>51.473012273006326</v>
      </c>
      <c r="H222" s="307">
        <f t="shared" ca="1" si="99"/>
        <v>147.01537371548451</v>
      </c>
      <c r="I222" s="304">
        <f t="shared" ca="1" si="100"/>
        <v>155.76582135102885</v>
      </c>
      <c r="J222" s="306">
        <f t="shared" ca="1" si="101"/>
        <v>50.178037121217223</v>
      </c>
      <c r="K222" s="307">
        <f t="shared" ca="1" si="102"/>
        <v>153.36390018366342</v>
      </c>
      <c r="L222" s="304">
        <f t="shared" ca="1" si="87"/>
        <v>161.36394048511249</v>
      </c>
      <c r="M222" s="306">
        <f t="shared" ca="1" si="103"/>
        <v>1.2340146700248247</v>
      </c>
      <c r="N222" s="304">
        <f t="shared" ca="1" si="104"/>
        <v>70.703832449651387</v>
      </c>
      <c r="P222" s="310">
        <f t="shared" ca="1" si="105"/>
        <v>8</v>
      </c>
      <c r="Q222" s="304">
        <f t="shared" ca="1" si="106"/>
        <v>2049.6904910941475</v>
      </c>
      <c r="R222" s="306">
        <f t="shared" ca="1" si="107"/>
        <v>1.2326308496717944</v>
      </c>
      <c r="S222" s="307">
        <f t="shared" ca="1" si="108"/>
        <v>21.226083695242917</v>
      </c>
      <c r="T222" s="304">
        <f t="shared" ca="1" si="88"/>
        <v>208.22788105033302</v>
      </c>
      <c r="U222" s="311">
        <f t="shared" ca="1" si="89"/>
        <v>0</v>
      </c>
      <c r="V222" s="306">
        <f t="shared" ca="1" si="90"/>
        <v>1.2063558889071342</v>
      </c>
      <c r="W222" s="304">
        <f t="shared" ca="1" si="91"/>
        <v>170.62648555984941</v>
      </c>
      <c r="Y222" s="314" t="str">
        <f t="shared" ca="1" si="109"/>
        <v/>
      </c>
      <c r="Z222" s="315" t="str">
        <f t="shared" ca="1" si="110"/>
        <v/>
      </c>
      <c r="AA222" s="316" t="str">
        <f t="shared" ca="1" si="111"/>
        <v/>
      </c>
      <c r="AC222" s="310" t="e">
        <f t="shared" ca="1" si="112"/>
        <v>#N/A</v>
      </c>
      <c r="AD222" s="323" t="e">
        <f t="shared" ca="1" si="113"/>
        <v>#N/A</v>
      </c>
      <c r="AE222" s="324">
        <f t="shared" ca="1" si="92"/>
        <v>153.36390018366342</v>
      </c>
      <c r="AG222" s="306">
        <f t="shared" ca="1" si="114"/>
        <v>79.347118330118164</v>
      </c>
      <c r="AH222" s="304">
        <f t="shared" ca="1" si="115"/>
        <v>88.606696573563397</v>
      </c>
    </row>
    <row r="223" spans="1:34" x14ac:dyDescent="0.2">
      <c r="A223" s="347">
        <f t="shared" ca="1" si="93"/>
        <v>0.01</v>
      </c>
      <c r="B223" s="304">
        <f t="shared" ca="1" si="94"/>
        <v>2.1899999999999973</v>
      </c>
      <c r="D223" s="306">
        <f t="shared" ca="1" si="95"/>
        <v>29.295038225842553</v>
      </c>
      <c r="E223" s="307">
        <f t="shared" ca="1" si="96"/>
        <v>73.861438732569525</v>
      </c>
      <c r="F223" s="304">
        <f t="shared" ca="1" si="97"/>
        <v>79.458866064767733</v>
      </c>
      <c r="G223" s="306">
        <f t="shared" ca="1" si="98"/>
        <v>51.765962655264751</v>
      </c>
      <c r="H223" s="307">
        <f t="shared" ca="1" si="99"/>
        <v>147.75398810281021</v>
      </c>
      <c r="I223" s="304">
        <f t="shared" ca="1" si="100"/>
        <v>156.55975181990948</v>
      </c>
      <c r="J223" s="306">
        <f t="shared" ca="1" si="101"/>
        <v>50.69423199585858</v>
      </c>
      <c r="K223" s="307">
        <f t="shared" ca="1" si="102"/>
        <v>154.83774699275489</v>
      </c>
      <c r="L223" s="304">
        <f t="shared" ca="1" si="87"/>
        <v>162.92523761358248</v>
      </c>
      <c r="M223" s="306">
        <f t="shared" ca="1" si="103"/>
        <v>1.233807609981125</v>
      </c>
      <c r="N223" s="304">
        <f t="shared" ca="1" si="104"/>
        <v>70.691968783041602</v>
      </c>
      <c r="P223" s="310">
        <f t="shared" ca="1" si="105"/>
        <v>8</v>
      </c>
      <c r="Q223" s="304">
        <f t="shared" ca="1" si="106"/>
        <v>2051.2595114503815</v>
      </c>
      <c r="R223" s="306">
        <f t="shared" ca="1" si="107"/>
        <v>1.2335744179340566</v>
      </c>
      <c r="S223" s="307">
        <f t="shared" ca="1" si="108"/>
        <v>21.213747951063578</v>
      </c>
      <c r="T223" s="304">
        <f t="shared" ca="1" si="88"/>
        <v>208.10686739993372</v>
      </c>
      <c r="U223" s="311">
        <f t="shared" ca="1" si="89"/>
        <v>0</v>
      </c>
      <c r="V223" s="306">
        <f t="shared" ca="1" si="90"/>
        <v>1.2061780930764949</v>
      </c>
      <c r="W223" s="304">
        <f t="shared" ca="1" si="91"/>
        <v>172.34486291076198</v>
      </c>
      <c r="Y223" s="314" t="str">
        <f t="shared" ca="1" si="109"/>
        <v/>
      </c>
      <c r="Z223" s="315" t="str">
        <f t="shared" ca="1" si="110"/>
        <v/>
      </c>
      <c r="AA223" s="316" t="str">
        <f t="shared" ca="1" si="111"/>
        <v/>
      </c>
      <c r="AC223" s="310" t="e">
        <f t="shared" ca="1" si="112"/>
        <v>#N/A</v>
      </c>
      <c r="AD223" s="323" t="e">
        <f t="shared" ca="1" si="113"/>
        <v>#N/A</v>
      </c>
      <c r="AE223" s="324">
        <f t="shared" ca="1" si="92"/>
        <v>154.83774699275489</v>
      </c>
      <c r="AG223" s="306">
        <f t="shared" ca="1" si="114"/>
        <v>79.392711272005712</v>
      </c>
      <c r="AH223" s="304">
        <f t="shared" ca="1" si="115"/>
        <v>88.651615463181002</v>
      </c>
    </row>
    <row r="224" spans="1:34" x14ac:dyDescent="0.2">
      <c r="A224" s="347">
        <f t="shared" ca="1" si="93"/>
        <v>0.01</v>
      </c>
      <c r="B224" s="304">
        <f t="shared" ca="1" si="94"/>
        <v>2.1999999999999971</v>
      </c>
      <c r="D224" s="306">
        <f t="shared" ca="1" si="95"/>
        <v>29.327101350927492</v>
      </c>
      <c r="E224" s="307">
        <f t="shared" ca="1" si="96"/>
        <v>73.89743944146764</v>
      </c>
      <c r="F224" s="304">
        <f t="shared" ca="1" si="97"/>
        <v>79.504153537113709</v>
      </c>
      <c r="G224" s="306">
        <f t="shared" ca="1" si="98"/>
        <v>52.059233668774027</v>
      </c>
      <c r="H224" s="307">
        <f t="shared" ca="1" si="99"/>
        <v>148.49296249722488</v>
      </c>
      <c r="I224" s="304">
        <f t="shared" ca="1" si="100"/>
        <v>157.35413474511006</v>
      </c>
      <c r="J224" s="306">
        <f t="shared" ca="1" si="101"/>
        <v>51.213357977478772</v>
      </c>
      <c r="K224" s="307">
        <f t="shared" ca="1" si="102"/>
        <v>156.31898174575505</v>
      </c>
      <c r="L224" s="304">
        <f t="shared" ca="1" si="87"/>
        <v>164.4944743429368</v>
      </c>
      <c r="M224" s="306">
        <f t="shared" ca="1" si="103"/>
        <v>1.2336014734223366</v>
      </c>
      <c r="N224" s="304">
        <f t="shared" ca="1" si="104"/>
        <v>70.68015802821968</v>
      </c>
      <c r="P224" s="310">
        <f t="shared" ca="1" si="105"/>
        <v>8</v>
      </c>
      <c r="Q224" s="304">
        <f t="shared" ca="1" si="106"/>
        <v>2052.8285318066155</v>
      </c>
      <c r="R224" s="306">
        <f t="shared" ca="1" si="107"/>
        <v>1.2345179861963187</v>
      </c>
      <c r="S224" s="307">
        <f t="shared" ca="1" si="108"/>
        <v>21.201402771201614</v>
      </c>
      <c r="T224" s="304">
        <f t="shared" ca="1" si="88"/>
        <v>207.98576118548786</v>
      </c>
      <c r="U224" s="311">
        <f t="shared" ca="1" si="89"/>
        <v>0</v>
      </c>
      <c r="V224" s="306">
        <f t="shared" ca="1" si="90"/>
        <v>1.2059994322066476</v>
      </c>
      <c r="W224" s="304">
        <f t="shared" ca="1" si="91"/>
        <v>174.07246521304057</v>
      </c>
      <c r="Y224" s="314" t="str">
        <f t="shared" ca="1" si="109"/>
        <v/>
      </c>
      <c r="Z224" s="315" t="str">
        <f t="shared" ca="1" si="110"/>
        <v/>
      </c>
      <c r="AA224" s="316" t="str">
        <f t="shared" ca="1" si="111"/>
        <v/>
      </c>
      <c r="AC224" s="310" t="e">
        <f t="shared" ca="1" si="112"/>
        <v>#N/A</v>
      </c>
      <c r="AD224" s="323" t="e">
        <f t="shared" ca="1" si="113"/>
        <v>#N/A</v>
      </c>
      <c r="AE224" s="324">
        <f t="shared" ca="1" si="92"/>
        <v>156.31898174575505</v>
      </c>
      <c r="AG224" s="306">
        <f t="shared" ca="1" si="114"/>
        <v>79.437958203255519</v>
      </c>
      <c r="AH224" s="304">
        <f t="shared" ca="1" si="115"/>
        <v>88.696190963843236</v>
      </c>
    </row>
    <row r="225" spans="1:34" x14ac:dyDescent="0.2">
      <c r="A225" s="347">
        <f t="shared" ca="1" si="93"/>
        <v>0.01</v>
      </c>
      <c r="B225" s="304">
        <f t="shared" ca="1" si="94"/>
        <v>2.2099999999999969</v>
      </c>
      <c r="D225" s="306">
        <f t="shared" ca="1" si="95"/>
        <v>29.35898952596839</v>
      </c>
      <c r="E225" s="307">
        <f t="shared" ca="1" si="96"/>
        <v>73.933133031383889</v>
      </c>
      <c r="F225" s="304">
        <f t="shared" ca="1" si="97"/>
        <v>79.549094437474452</v>
      </c>
      <c r="G225" s="306">
        <f t="shared" ca="1" si="98"/>
        <v>52.352823564033713</v>
      </c>
      <c r="H225" s="307">
        <f t="shared" ca="1" si="99"/>
        <v>149.23229382753871</v>
      </c>
      <c r="I225" s="304">
        <f t="shared" ca="1" si="100"/>
        <v>158.14896666167533</v>
      </c>
      <c r="J225" s="306">
        <f t="shared" ca="1" si="101"/>
        <v>51.735418263642813</v>
      </c>
      <c r="K225" s="307">
        <f t="shared" ca="1" si="102"/>
        <v>157.80760802737888</v>
      </c>
      <c r="L225" s="304">
        <f t="shared" ca="1" si="87"/>
        <v>166.07165518003643</v>
      </c>
      <c r="M225" s="306">
        <f t="shared" ca="1" si="103"/>
        <v>1.2333962522031037</v>
      </c>
      <c r="N225" s="304">
        <f t="shared" ca="1" si="104"/>
        <v>70.668399718491102</v>
      </c>
      <c r="P225" s="310">
        <f t="shared" ca="1" si="105"/>
        <v>8</v>
      </c>
      <c r="Q225" s="304">
        <f t="shared" ca="1" si="106"/>
        <v>2054.3975521628495</v>
      </c>
      <c r="R225" s="306">
        <f t="shared" ca="1" si="107"/>
        <v>1.235461554458581</v>
      </c>
      <c r="S225" s="307">
        <f t="shared" ca="1" si="108"/>
        <v>21.18904815565703</v>
      </c>
      <c r="T225" s="304">
        <f t="shared" ca="1" si="88"/>
        <v>207.86456240699547</v>
      </c>
      <c r="U225" s="311">
        <f t="shared" ca="1" si="89"/>
        <v>0</v>
      </c>
      <c r="V225" s="306">
        <f t="shared" ca="1" si="90"/>
        <v>1.2058199062524482</v>
      </c>
      <c r="W225" s="304">
        <f t="shared" ca="1" si="91"/>
        <v>175.80929175897955</v>
      </c>
      <c r="Y225" s="314" t="str">
        <f t="shared" ca="1" si="109"/>
        <v/>
      </c>
      <c r="Z225" s="315" t="str">
        <f t="shared" ca="1" si="110"/>
        <v/>
      </c>
      <c r="AA225" s="316" t="str">
        <f t="shared" ca="1" si="111"/>
        <v/>
      </c>
      <c r="AC225" s="310" t="e">
        <f t="shared" ca="1" si="112"/>
        <v>#N/A</v>
      </c>
      <c r="AD225" s="323" t="e">
        <f t="shared" ca="1" si="113"/>
        <v>#N/A</v>
      </c>
      <c r="AE225" s="324">
        <f t="shared" ca="1" si="92"/>
        <v>157.80760802737888</v>
      </c>
      <c r="AG225" s="306">
        <f t="shared" ca="1" si="114"/>
        <v>79.482858628421084</v>
      </c>
      <c r="AH225" s="304">
        <f t="shared" ca="1" si="115"/>
        <v>88.740422558707607</v>
      </c>
    </row>
    <row r="226" spans="1:34" x14ac:dyDescent="0.2">
      <c r="A226" s="347">
        <f t="shared" ca="1" si="93"/>
        <v>0.01</v>
      </c>
      <c r="B226" s="304">
        <f t="shared" ca="1" si="94"/>
        <v>2.2199999999999966</v>
      </c>
      <c r="D226" s="306">
        <f t="shared" ca="1" si="95"/>
        <v>29.390702962561612</v>
      </c>
      <c r="E226" s="307">
        <f t="shared" ca="1" si="96"/>
        <v>73.968518935893826</v>
      </c>
      <c r="F226" s="304">
        <f t="shared" ca="1" si="97"/>
        <v>79.593688281189813</v>
      </c>
      <c r="G226" s="306">
        <f t="shared" ca="1" si="98"/>
        <v>52.646730593659328</v>
      </c>
      <c r="H226" s="307">
        <f t="shared" ca="1" si="99"/>
        <v>149.97197901689765</v>
      </c>
      <c r="I226" s="304">
        <f t="shared" ca="1" si="100"/>
        <v>158.94424409976642</v>
      </c>
      <c r="J226" s="306">
        <f t="shared" ca="1" si="101"/>
        <v>52.26041603443128</v>
      </c>
      <c r="K226" s="307">
        <f t="shared" ca="1" si="102"/>
        <v>159.30362939160105</v>
      </c>
      <c r="L226" s="304">
        <f t="shared" ca="1" si="87"/>
        <v>167.65678459707027</v>
      </c>
      <c r="M226" s="306">
        <f t="shared" ca="1" si="103"/>
        <v>1.2331919382831955</v>
      </c>
      <c r="N226" s="304">
        <f t="shared" ca="1" si="104"/>
        <v>70.656693393184597</v>
      </c>
      <c r="P226" s="310">
        <f t="shared" ca="1" si="105"/>
        <v>8</v>
      </c>
      <c r="Q226" s="304">
        <f t="shared" ca="1" si="106"/>
        <v>2055.9665725190835</v>
      </c>
      <c r="R226" s="306">
        <f t="shared" ca="1" si="107"/>
        <v>1.2364051227208432</v>
      </c>
      <c r="S226" s="307">
        <f t="shared" ca="1" si="108"/>
        <v>21.176684104429821</v>
      </c>
      <c r="T226" s="304">
        <f t="shared" ca="1" si="88"/>
        <v>207.74327106445656</v>
      </c>
      <c r="U226" s="311">
        <f t="shared" ca="1" si="89"/>
        <v>0</v>
      </c>
      <c r="V226" s="306">
        <f t="shared" ca="1" si="90"/>
        <v>1.2056395151745032</v>
      </c>
      <c r="W226" s="304">
        <f t="shared" ca="1" si="91"/>
        <v>177.5553416373283</v>
      </c>
      <c r="Y226" s="314" t="str">
        <f t="shared" ca="1" si="109"/>
        <v/>
      </c>
      <c r="Z226" s="315" t="str">
        <f t="shared" ca="1" si="110"/>
        <v/>
      </c>
      <c r="AA226" s="316" t="str">
        <f t="shared" ca="1" si="111"/>
        <v/>
      </c>
      <c r="AC226" s="310" t="e">
        <f t="shared" ca="1" si="112"/>
        <v>#N/A</v>
      </c>
      <c r="AD226" s="323" t="e">
        <f t="shared" ca="1" si="113"/>
        <v>#N/A</v>
      </c>
      <c r="AE226" s="324">
        <f t="shared" ca="1" si="92"/>
        <v>159.30362939160105</v>
      </c>
      <c r="AG226" s="306">
        <f t="shared" ca="1" si="114"/>
        <v>79.527412059271725</v>
      </c>
      <c r="AH226" s="304">
        <f t="shared" ca="1" si="115"/>
        <v>88.784309738407316</v>
      </c>
    </row>
    <row r="227" spans="1:34" x14ac:dyDescent="0.2">
      <c r="A227" s="347">
        <f t="shared" ca="1" si="93"/>
        <v>0.01</v>
      </c>
      <c r="B227" s="304">
        <f t="shared" ca="1" si="94"/>
        <v>2.2299999999999964</v>
      </c>
      <c r="D227" s="306">
        <f t="shared" ca="1" si="95"/>
        <v>29.422241868532499</v>
      </c>
      <c r="E227" s="307">
        <f t="shared" ca="1" si="96"/>
        <v>74.003596597185009</v>
      </c>
      <c r="F227" s="304">
        <f t="shared" ca="1" si="97"/>
        <v>79.637934590804903</v>
      </c>
      <c r="G227" s="306">
        <f t="shared" ca="1" si="98"/>
        <v>52.94095301234465</v>
      </c>
      <c r="H227" s="307">
        <f t="shared" ca="1" si="99"/>
        <v>150.7120149828695</v>
      </c>
      <c r="I227" s="304">
        <f t="shared" ca="1" si="100"/>
        <v>159.73996358473346</v>
      </c>
      <c r="J227" s="306">
        <f t="shared" ca="1" si="101"/>
        <v>52.788354452461299</v>
      </c>
      <c r="K227" s="307">
        <f t="shared" ca="1" si="102"/>
        <v>160.80704936159989</v>
      </c>
      <c r="L227" s="304">
        <f t="shared" ca="1" si="87"/>
        <v>169.24986703150674</v>
      </c>
      <c r="M227" s="306">
        <f t="shared" ca="1" si="103"/>
        <v>1.2329885237256837</v>
      </c>
      <c r="N227" s="304">
        <f t="shared" ca="1" si="104"/>
        <v>70.645038597547639</v>
      </c>
      <c r="P227" s="310">
        <f t="shared" ca="1" si="105"/>
        <v>8</v>
      </c>
      <c r="Q227" s="304">
        <f t="shared" ca="1" si="106"/>
        <v>2057.5355928753179</v>
      </c>
      <c r="R227" s="306">
        <f t="shared" ca="1" si="107"/>
        <v>1.2373486909831055</v>
      </c>
      <c r="S227" s="307">
        <f t="shared" ca="1" si="108"/>
        <v>21.164310617519991</v>
      </c>
      <c r="T227" s="304">
        <f t="shared" ca="1" si="88"/>
        <v>207.62188715787113</v>
      </c>
      <c r="U227" s="311">
        <f t="shared" ca="1" si="89"/>
        <v>0</v>
      </c>
      <c r="V227" s="306">
        <f t="shared" ca="1" si="90"/>
        <v>1.2054582589391731</v>
      </c>
      <c r="W227" s="304">
        <f t="shared" ca="1" si="91"/>
        <v>179.3106137330675</v>
      </c>
      <c r="Y227" s="314" t="str">
        <f t="shared" ca="1" si="109"/>
        <v/>
      </c>
      <c r="Z227" s="315" t="str">
        <f t="shared" ca="1" si="110"/>
        <v/>
      </c>
      <c r="AA227" s="316" t="str">
        <f t="shared" ca="1" si="111"/>
        <v/>
      </c>
      <c r="AC227" s="310" t="e">
        <f t="shared" ca="1" si="112"/>
        <v>#N/A</v>
      </c>
      <c r="AD227" s="323" t="e">
        <f t="shared" ca="1" si="113"/>
        <v>#N/A</v>
      </c>
      <c r="AE227" s="324">
        <f t="shared" ca="1" si="92"/>
        <v>160.80704936159989</v>
      </c>
      <c r="AG227" s="306">
        <f t="shared" ca="1" si="114"/>
        <v>79.571618014827436</v>
      </c>
      <c r="AH227" s="304">
        <f t="shared" ca="1" si="115"/>
        <v>88.827852001081794</v>
      </c>
    </row>
    <row r="228" spans="1:34" x14ac:dyDescent="0.2">
      <c r="A228" s="347">
        <f t="shared" ca="1" si="93"/>
        <v>0.01</v>
      </c>
      <c r="B228" s="304">
        <f t="shared" ca="1" si="94"/>
        <v>2.2399999999999962</v>
      </c>
      <c r="D228" s="306">
        <f t="shared" ca="1" si="95"/>
        <v>29.45360644806556</v>
      </c>
      <c r="E228" s="307">
        <f t="shared" ca="1" si="96"/>
        <v>74.038365466056476</v>
      </c>
      <c r="F228" s="304">
        <f t="shared" ca="1" si="97"/>
        <v>79.681832896105448</v>
      </c>
      <c r="G228" s="306">
        <f t="shared" ca="1" si="98"/>
        <v>53.235489076825303</v>
      </c>
      <c r="H228" s="307">
        <f t="shared" ca="1" si="99"/>
        <v>151.45239863753008</v>
      </c>
      <c r="I228" s="304">
        <f t="shared" ca="1" si="100"/>
        <v>160.53612163718827</v>
      </c>
      <c r="J228" s="306">
        <f t="shared" ca="1" si="101"/>
        <v>53.319236662907151</v>
      </c>
      <c r="K228" s="307">
        <f t="shared" ca="1" si="102"/>
        <v>162.31787142970188</v>
      </c>
      <c r="L228" s="304">
        <f t="shared" ca="1" si="87"/>
        <v>170.85090688604592</v>
      </c>
      <c r="M228" s="306">
        <f t="shared" ca="1" si="103"/>
        <v>1.2327860006951583</v>
      </c>
      <c r="N228" s="304">
        <f t="shared" ca="1" si="104"/>
        <v>70.633434882644337</v>
      </c>
      <c r="P228" s="310">
        <f t="shared" ca="1" si="105"/>
        <v>8</v>
      </c>
      <c r="Q228" s="304">
        <f t="shared" ca="1" si="106"/>
        <v>2059.1046132315519</v>
      </c>
      <c r="R228" s="306">
        <f t="shared" ca="1" si="107"/>
        <v>1.2382922592453678</v>
      </c>
      <c r="S228" s="307">
        <f t="shared" ca="1" si="108"/>
        <v>21.151927694927537</v>
      </c>
      <c r="T228" s="304">
        <f t="shared" ca="1" si="88"/>
        <v>207.50041068723914</v>
      </c>
      <c r="U228" s="311">
        <f t="shared" ca="1" si="89"/>
        <v>0</v>
      </c>
      <c r="V228" s="306">
        <f t="shared" ca="1" si="90"/>
        <v>1.2052761375185792</v>
      </c>
      <c r="W228" s="304">
        <f t="shared" ca="1" si="91"/>
        <v>181.07510672719485</v>
      </c>
      <c r="Y228" s="314" t="str">
        <f t="shared" ca="1" si="109"/>
        <v/>
      </c>
      <c r="Z228" s="315" t="str">
        <f t="shared" ca="1" si="110"/>
        <v/>
      </c>
      <c r="AA228" s="316" t="str">
        <f t="shared" ca="1" si="111"/>
        <v/>
      </c>
      <c r="AC228" s="310" t="e">
        <f t="shared" ca="1" si="112"/>
        <v>#N/A</v>
      </c>
      <c r="AD228" s="323" t="e">
        <f t="shared" ca="1" si="113"/>
        <v>#N/A</v>
      </c>
      <c r="AE228" s="324">
        <f t="shared" ca="1" si="92"/>
        <v>162.31787142970188</v>
      </c>
      <c r="AG228" s="306">
        <f t="shared" ca="1" si="114"/>
        <v>79.615476021393405</v>
      </c>
      <c r="AH228" s="304">
        <f t="shared" ca="1" si="115"/>
        <v>88.871048852406943</v>
      </c>
    </row>
    <row r="229" spans="1:34" x14ac:dyDescent="0.2">
      <c r="A229" s="347">
        <f t="shared" ca="1" si="93"/>
        <v>0.01</v>
      </c>
      <c r="B229" s="304">
        <f t="shared" ca="1" si="94"/>
        <v>2.249999999999996</v>
      </c>
      <c r="D229" s="306">
        <f t="shared" ca="1" si="95"/>
        <v>29.484796901832055</v>
      </c>
      <c r="E229" s="307">
        <f t="shared" ca="1" si="96"/>
        <v>74.07282500191846</v>
      </c>
      <c r="F229" s="304">
        <f t="shared" ca="1" si="97"/>
        <v>79.725382734152618</v>
      </c>
      <c r="G229" s="306">
        <f t="shared" ca="1" si="98"/>
        <v>53.530337045843623</v>
      </c>
      <c r="H229" s="307">
        <f t="shared" ca="1" si="99"/>
        <v>152.19312688754925</v>
      </c>
      <c r="I229" s="304">
        <f t="shared" ca="1" si="100"/>
        <v>161.33271477307784</v>
      </c>
      <c r="J229" s="306">
        <f t="shared" ca="1" si="101"/>
        <v>53.853065793520493</v>
      </c>
      <c r="K229" s="307">
        <f t="shared" ca="1" si="102"/>
        <v>163.83609905732729</v>
      </c>
      <c r="L229" s="304">
        <f t="shared" ca="1" si="87"/>
        <v>172.45990852857256</v>
      </c>
      <c r="M229" s="306">
        <f t="shared" ca="1" si="103"/>
        <v>1.2325843614559848</v>
      </c>
      <c r="N229" s="304">
        <f t="shared" ca="1" si="104"/>
        <v>70.62188180525547</v>
      </c>
      <c r="P229" s="310">
        <f t="shared" ca="1" si="105"/>
        <v>8</v>
      </c>
      <c r="Q229" s="304">
        <f t="shared" ca="1" si="106"/>
        <v>2060.6736335877858</v>
      </c>
      <c r="R229" s="306">
        <f t="shared" ca="1" si="107"/>
        <v>1.2392358275076301</v>
      </c>
      <c r="S229" s="307">
        <f t="shared" ca="1" si="108"/>
        <v>21.139535336652461</v>
      </c>
      <c r="T229" s="304">
        <f t="shared" ca="1" si="88"/>
        <v>207.37884165256065</v>
      </c>
      <c r="U229" s="311">
        <f t="shared" ca="1" si="89"/>
        <v>0</v>
      </c>
      <c r="V229" s="306">
        <f t="shared" ca="1" si="90"/>
        <v>1.2050931508906078</v>
      </c>
      <c r="W229" s="304">
        <f t="shared" ca="1" si="91"/>
        <v>182.84881909652088</v>
      </c>
      <c r="Y229" s="314" t="str">
        <f t="shared" ca="1" si="109"/>
        <v/>
      </c>
      <c r="Z229" s="315" t="str">
        <f t="shared" ca="1" si="110"/>
        <v/>
      </c>
      <c r="AA229" s="316" t="str">
        <f t="shared" ca="1" si="111"/>
        <v/>
      </c>
      <c r="AC229" s="310" t="e">
        <f t="shared" ca="1" si="112"/>
        <v>#N/A</v>
      </c>
      <c r="AD229" s="323" t="e">
        <f t="shared" ca="1" si="113"/>
        <v>#N/A</v>
      </c>
      <c r="AE229" s="324">
        <f t="shared" ca="1" si="92"/>
        <v>163.83609905732729</v>
      </c>
      <c r="AG229" s="306">
        <f t="shared" ca="1" si="114"/>
        <v>79.658985612594208</v>
      </c>
      <c r="AH229" s="304">
        <f t="shared" ca="1" si="115"/>
        <v>88.913899805625235</v>
      </c>
    </row>
    <row r="230" spans="1:34" x14ac:dyDescent="0.2">
      <c r="A230" s="347">
        <f t="shared" ca="1" si="93"/>
        <v>0.01</v>
      </c>
      <c r="B230" s="304">
        <f t="shared" ca="1" si="94"/>
        <v>2.2599999999999958</v>
      </c>
      <c r="D230" s="306">
        <f t="shared" ca="1" si="95"/>
        <v>29.515813427114761</v>
      </c>
      <c r="E230" s="307">
        <f t="shared" ca="1" si="96"/>
        <v>74.106974672792532</v>
      </c>
      <c r="F230" s="304">
        <f t="shared" ca="1" si="97"/>
        <v>79.768583649317492</v>
      </c>
      <c r="G230" s="306">
        <f t="shared" ca="1" si="98"/>
        <v>53.825495180114771</v>
      </c>
      <c r="H230" s="307">
        <f t="shared" ca="1" si="99"/>
        <v>152.93419663427719</v>
      </c>
      <c r="I230" s="304">
        <f t="shared" ca="1" si="100"/>
        <v>162.12973950375766</v>
      </c>
      <c r="J230" s="306">
        <f t="shared" ca="1" si="101"/>
        <v>54.389844954650286</v>
      </c>
      <c r="K230" s="307">
        <f t="shared" ca="1" si="102"/>
        <v>165.36173567493643</v>
      </c>
      <c r="L230" s="304">
        <f t="shared" ca="1" si="87"/>
        <v>174.07687629210963</v>
      </c>
      <c r="M230" s="306">
        <f t="shared" ca="1" si="103"/>
        <v>1.2323835983705966</v>
      </c>
      <c r="N230" s="304">
        <f t="shared" ca="1" si="104"/>
        <v>70.610378927780701</v>
      </c>
      <c r="P230" s="310">
        <f t="shared" ca="1" si="105"/>
        <v>8</v>
      </c>
      <c r="Q230" s="304">
        <f t="shared" ca="1" si="106"/>
        <v>2062.2426539440198</v>
      </c>
      <c r="R230" s="306">
        <f t="shared" ca="1" si="107"/>
        <v>1.2401793957698921</v>
      </c>
      <c r="S230" s="307">
        <f t="shared" ca="1" si="108"/>
        <v>21.127133542694761</v>
      </c>
      <c r="T230" s="304">
        <f t="shared" ca="1" si="88"/>
        <v>207.25718005383561</v>
      </c>
      <c r="U230" s="311">
        <f t="shared" ca="1" si="89"/>
        <v>0</v>
      </c>
      <c r="V230" s="306">
        <f t="shared" ca="1" si="90"/>
        <v>1.2049092990389128</v>
      </c>
      <c r="W230" s="304">
        <f t="shared" ca="1" si="91"/>
        <v>184.63174911347335</v>
      </c>
      <c r="Y230" s="314" t="str">
        <f t="shared" ca="1" si="109"/>
        <v/>
      </c>
      <c r="Z230" s="315" t="str">
        <f t="shared" ca="1" si="110"/>
        <v/>
      </c>
      <c r="AA230" s="316" t="str">
        <f t="shared" ca="1" si="111"/>
        <v/>
      </c>
      <c r="AC230" s="310" t="e">
        <f t="shared" ca="1" si="112"/>
        <v>#N/A</v>
      </c>
      <c r="AD230" s="323" t="e">
        <f t="shared" ca="1" si="113"/>
        <v>#N/A</v>
      </c>
      <c r="AE230" s="324">
        <f t="shared" ca="1" si="92"/>
        <v>165.36173567493643</v>
      </c>
      <c r="AG230" s="306">
        <f t="shared" ca="1" si="114"/>
        <v>79.702146329407441</v>
      </c>
      <c r="AH230" s="304">
        <f t="shared" ca="1" si="115"/>
        <v>88.956404381575311</v>
      </c>
    </row>
    <row r="231" spans="1:34" x14ac:dyDescent="0.2">
      <c r="A231" s="347">
        <f t="shared" ca="1" si="93"/>
        <v>0.01</v>
      </c>
      <c r="B231" s="304">
        <f t="shared" ca="1" si="94"/>
        <v>2.2699999999999956</v>
      </c>
      <c r="D231" s="306">
        <f t="shared" ca="1" si="95"/>
        <v>29.54665621793033</v>
      </c>
      <c r="E231" s="307">
        <f t="shared" ca="1" si="96"/>
        <v>74.140813955311799</v>
      </c>
      <c r="F231" s="304">
        <f t="shared" ca="1" si="97"/>
        <v>79.811435193314992</v>
      </c>
      <c r="G231" s="306">
        <f t="shared" ca="1" si="98"/>
        <v>54.120961742294071</v>
      </c>
      <c r="H231" s="307">
        <f t="shared" ca="1" si="99"/>
        <v>153.67560477383032</v>
      </c>
      <c r="I231" s="304">
        <f t="shared" ca="1" si="100"/>
        <v>162.92719233606573</v>
      </c>
      <c r="J231" s="306">
        <f t="shared" ca="1" si="101"/>
        <v>54.929577239262329</v>
      </c>
      <c r="K231" s="307">
        <f t="shared" ca="1" si="102"/>
        <v>166.89478468197697</v>
      </c>
      <c r="L231" s="304">
        <f t="shared" ca="1" si="87"/>
        <v>175.70181447477296</v>
      </c>
      <c r="M231" s="306">
        <f t="shared" ca="1" si="103"/>
        <v>1.2321837038978254</v>
      </c>
      <c r="N231" s="304">
        <f t="shared" ca="1" si="104"/>
        <v>70.598925818142916</v>
      </c>
      <c r="P231" s="310">
        <f t="shared" ca="1" si="105"/>
        <v>8</v>
      </c>
      <c r="Q231" s="304">
        <f t="shared" ca="1" si="106"/>
        <v>2063.8116743002538</v>
      </c>
      <c r="R231" s="306">
        <f t="shared" ca="1" si="107"/>
        <v>1.2411229640321544</v>
      </c>
      <c r="S231" s="307">
        <f t="shared" ca="1" si="108"/>
        <v>21.11472231305444</v>
      </c>
      <c r="T231" s="304">
        <f t="shared" ca="1" si="88"/>
        <v>207.13542589106407</v>
      </c>
      <c r="U231" s="311">
        <f t="shared" ca="1" si="89"/>
        <v>0</v>
      </c>
      <c r="V231" s="306">
        <f t="shared" ca="1" si="90"/>
        <v>1.2047245819529233</v>
      </c>
      <c r="W231" s="304">
        <f t="shared" ca="1" si="91"/>
        <v>186.42389484591274</v>
      </c>
      <c r="Y231" s="314" t="str">
        <f t="shared" ca="1" si="109"/>
        <v/>
      </c>
      <c r="Z231" s="315" t="str">
        <f t="shared" ca="1" si="110"/>
        <v/>
      </c>
      <c r="AA231" s="316" t="str">
        <f t="shared" ca="1" si="111"/>
        <v/>
      </c>
      <c r="AC231" s="310" t="e">
        <f t="shared" ca="1" si="112"/>
        <v>#N/A</v>
      </c>
      <c r="AD231" s="323" t="e">
        <f t="shared" ca="1" si="113"/>
        <v>#N/A</v>
      </c>
      <c r="AE231" s="324">
        <f t="shared" ca="1" si="92"/>
        <v>166.89478468197697</v>
      </c>
      <c r="AG231" s="306">
        <f t="shared" ca="1" si="114"/>
        <v>79.744957720197164</v>
      </c>
      <c r="AH231" s="304">
        <f t="shared" ca="1" si="115"/>
        <v>88.998562108721373</v>
      </c>
    </row>
    <row r="232" spans="1:34" x14ac:dyDescent="0.2">
      <c r="A232" s="347">
        <f t="shared" ca="1" si="93"/>
        <v>0.01</v>
      </c>
      <c r="B232" s="304">
        <f t="shared" ca="1" si="94"/>
        <v>2.2799999999999954</v>
      </c>
      <c r="D232" s="306">
        <f t="shared" ca="1" si="95"/>
        <v>29.57732546514908</v>
      </c>
      <c r="E232" s="307">
        <f t="shared" ca="1" si="96"/>
        <v>74.174342334721629</v>
      </c>
      <c r="F232" s="304">
        <f t="shared" ca="1" si="97"/>
        <v>79.853936925237647</v>
      </c>
      <c r="G232" s="306">
        <f t="shared" ca="1" si="98"/>
        <v>54.416734996945564</v>
      </c>
      <c r="H232" s="307">
        <f t="shared" ca="1" si="99"/>
        <v>154.41734819717752</v>
      </c>
      <c r="I232" s="304">
        <f t="shared" ca="1" si="100"/>
        <v>163.72506977239669</v>
      </c>
      <c r="J232" s="306">
        <f t="shared" ca="1" si="101"/>
        <v>55.472265722958525</v>
      </c>
      <c r="K232" s="307">
        <f t="shared" ca="1" si="102"/>
        <v>168.43524944683202</v>
      </c>
      <c r="L232" s="304">
        <f t="shared" ca="1" si="87"/>
        <v>177.33472733972621</v>
      </c>
      <c r="M232" s="306">
        <f t="shared" ca="1" si="103"/>
        <v>1.2319846705912672</v>
      </c>
      <c r="N232" s="304">
        <f t="shared" ca="1" si="104"/>
        <v>70.587522049694599</v>
      </c>
      <c r="P232" s="310">
        <f t="shared" ca="1" si="105"/>
        <v>8</v>
      </c>
      <c r="Q232" s="304">
        <f t="shared" ca="1" si="106"/>
        <v>2065.3806946564882</v>
      </c>
      <c r="R232" s="306">
        <f t="shared" ca="1" si="107"/>
        <v>1.2420665322944169</v>
      </c>
      <c r="S232" s="307">
        <f t="shared" ca="1" si="108"/>
        <v>21.102301647731494</v>
      </c>
      <c r="T232" s="304">
        <f t="shared" ca="1" si="88"/>
        <v>207.01357916424595</v>
      </c>
      <c r="U232" s="311">
        <f t="shared" ca="1" si="89"/>
        <v>0</v>
      </c>
      <c r="V232" s="306">
        <f t="shared" ca="1" si="90"/>
        <v>1.2045389996278439</v>
      </c>
      <c r="W232" s="304">
        <f t="shared" ca="1" si="91"/>
        <v>188.225254156956</v>
      </c>
      <c r="Y232" s="314" t="str">
        <f t="shared" ca="1" si="109"/>
        <v/>
      </c>
      <c r="Z232" s="315" t="str">
        <f t="shared" ca="1" si="110"/>
        <v/>
      </c>
      <c r="AA232" s="316" t="str">
        <f t="shared" ca="1" si="111"/>
        <v/>
      </c>
      <c r="AC232" s="310" t="e">
        <f t="shared" ca="1" si="112"/>
        <v>#N/A</v>
      </c>
      <c r="AD232" s="323" t="e">
        <f t="shared" ca="1" si="113"/>
        <v>#N/A</v>
      </c>
      <c r="AE232" s="324">
        <f t="shared" ca="1" si="92"/>
        <v>168.43524944683202</v>
      </c>
      <c r="AG232" s="306">
        <f t="shared" ca="1" si="114"/>
        <v>79.787419340746794</v>
      </c>
      <c r="AH232" s="304">
        <f t="shared" ca="1" si="115"/>
        <v>89.04037252318227</v>
      </c>
    </row>
    <row r="233" spans="1:34" x14ac:dyDescent="0.2">
      <c r="A233" s="347">
        <f t="shared" ca="1" si="93"/>
        <v>0.01</v>
      </c>
      <c r="B233" s="304">
        <f t="shared" ca="1" si="94"/>
        <v>2.2899999999999952</v>
      </c>
      <c r="D233" s="306">
        <f t="shared" ca="1" si="95"/>
        <v>29.607821356612341</v>
      </c>
      <c r="E233" s="307">
        <f t="shared" ca="1" si="96"/>
        <v>74.207559304880448</v>
      </c>
      <c r="F233" s="304">
        <f t="shared" ca="1" si="97"/>
        <v>79.896088411588835</v>
      </c>
      <c r="G233" s="306">
        <f t="shared" ca="1" si="98"/>
        <v>54.71281321051169</v>
      </c>
      <c r="H233" s="307">
        <f t="shared" ca="1" si="99"/>
        <v>155.15942379022633</v>
      </c>
      <c r="I233" s="304">
        <f t="shared" ca="1" si="100"/>
        <v>164.52336831077642</v>
      </c>
      <c r="J233" s="306">
        <f t="shared" ca="1" si="101"/>
        <v>56.017913463995811</v>
      </c>
      <c r="K233" s="307">
        <f t="shared" ca="1" si="102"/>
        <v>169.98313330676905</v>
      </c>
      <c r="L233" s="304">
        <f t="shared" ca="1" si="87"/>
        <v>178.97561911513685</v>
      </c>
      <c r="M233" s="306">
        <f t="shared" ca="1" si="103"/>
        <v>1.2317864910976826</v>
      </c>
      <c r="N233" s="304">
        <f t="shared" ca="1" si="104"/>
        <v>70.576167201126168</v>
      </c>
      <c r="P233" s="310">
        <f t="shared" ca="1" si="105"/>
        <v>8</v>
      </c>
      <c r="Q233" s="304">
        <f t="shared" ca="1" si="106"/>
        <v>2066.9497150127222</v>
      </c>
      <c r="R233" s="306">
        <f t="shared" ca="1" si="107"/>
        <v>1.2430101005566789</v>
      </c>
      <c r="S233" s="307">
        <f t="shared" ca="1" si="108"/>
        <v>21.089871546725927</v>
      </c>
      <c r="T233" s="304">
        <f t="shared" ca="1" si="88"/>
        <v>206.89163987338137</v>
      </c>
      <c r="U233" s="311">
        <f t="shared" ca="1" si="89"/>
        <v>0</v>
      </c>
      <c r="V233" s="306">
        <f t="shared" ca="1" si="90"/>
        <v>1.2043525520646625</v>
      </c>
      <c r="W233" s="304">
        <f t="shared" ca="1" si="91"/>
        <v>190.03582470481138</v>
      </c>
      <c r="Y233" s="314" t="str">
        <f t="shared" ca="1" si="109"/>
        <v/>
      </c>
      <c r="Z233" s="315" t="str">
        <f t="shared" ca="1" si="110"/>
        <v/>
      </c>
      <c r="AA233" s="316" t="str">
        <f t="shared" ca="1" si="111"/>
        <v/>
      </c>
      <c r="AC233" s="310" t="e">
        <f t="shared" ca="1" si="112"/>
        <v>#N/A</v>
      </c>
      <c r="AD233" s="323" t="e">
        <f t="shared" ca="1" si="113"/>
        <v>#N/A</v>
      </c>
      <c r="AE233" s="324">
        <f t="shared" ca="1" si="92"/>
        <v>169.98313330676905</v>
      </c>
      <c r="AG233" s="306">
        <f t="shared" ca="1" si="114"/>
        <v>79.829530754291753</v>
      </c>
      <c r="AH233" s="304">
        <f t="shared" ca="1" si="115"/>
        <v>89.081835168760264</v>
      </c>
    </row>
    <row r="234" spans="1:34" x14ac:dyDescent="0.2">
      <c r="A234" s="347">
        <f t="shared" ca="1" si="93"/>
        <v>0.01</v>
      </c>
      <c r="B234" s="304">
        <f t="shared" ca="1" si="94"/>
        <v>2.2999999999999949</v>
      </c>
      <c r="D234" s="306">
        <f t="shared" ca="1" si="95"/>
        <v>29.638144077247453</v>
      </c>
      <c r="E234" s="307">
        <f t="shared" ca="1" si="96"/>
        <v>74.240464368260845</v>
      </c>
      <c r="F234" s="304">
        <f t="shared" ca="1" si="97"/>
        <v>79.937889226315491</v>
      </c>
      <c r="G234" s="306">
        <f t="shared" ca="1" si="98"/>
        <v>55.009194651284162</v>
      </c>
      <c r="H234" s="307">
        <f t="shared" ca="1" si="99"/>
        <v>155.90182843390895</v>
      </c>
      <c r="I234" s="304">
        <f t="shared" ca="1" si="100"/>
        <v>165.32208444493691</v>
      </c>
      <c r="J234" s="306">
        <f t="shared" ca="1" si="101"/>
        <v>56.566523503304794</v>
      </c>
      <c r="K234" s="307">
        <f t="shared" ca="1" si="102"/>
        <v>171.53843956788972</v>
      </c>
      <c r="L234" s="304">
        <f t="shared" ca="1" si="87"/>
        <v>180.62449399413273</v>
      </c>
      <c r="M234" s="306">
        <f t="shared" ca="1" si="103"/>
        <v>1.2315891581554317</v>
      </c>
      <c r="N234" s="304">
        <f t="shared" ca="1" si="104"/>
        <v>70.564860856376285</v>
      </c>
      <c r="P234" s="310">
        <f t="shared" ca="1" si="105"/>
        <v>8</v>
      </c>
      <c r="Q234" s="304">
        <f t="shared" ca="1" si="106"/>
        <v>2068.5187353689562</v>
      </c>
      <c r="R234" s="306">
        <f t="shared" ca="1" si="107"/>
        <v>1.2439536688189412</v>
      </c>
      <c r="S234" s="307">
        <f t="shared" ca="1" si="108"/>
        <v>21.077432010037739</v>
      </c>
      <c r="T234" s="304">
        <f t="shared" ca="1" si="88"/>
        <v>206.76960801847022</v>
      </c>
      <c r="U234" s="311">
        <f t="shared" ca="1" si="89"/>
        <v>0</v>
      </c>
      <c r="V234" s="306">
        <f t="shared" ca="1" si="90"/>
        <v>1.2041652392701523</v>
      </c>
      <c r="W234" s="304">
        <f t="shared" ca="1" si="91"/>
        <v>191.85560394262248</v>
      </c>
      <c r="Y234" s="314" t="str">
        <f t="shared" ca="1" si="109"/>
        <v/>
      </c>
      <c r="Z234" s="315" t="str">
        <f t="shared" ca="1" si="110"/>
        <v/>
      </c>
      <c r="AA234" s="316" t="str">
        <f t="shared" ca="1" si="111"/>
        <v/>
      </c>
      <c r="AC234" s="310" t="e">
        <f t="shared" ca="1" si="112"/>
        <v>#N/A</v>
      </c>
      <c r="AD234" s="323" t="e">
        <f t="shared" ca="1" si="113"/>
        <v>#N/A</v>
      </c>
      <c r="AE234" s="324">
        <f t="shared" ca="1" si="92"/>
        <v>171.53843956788972</v>
      </c>
      <c r="AG234" s="306">
        <f t="shared" ca="1" si="114"/>
        <v>79.871291531551549</v>
      </c>
      <c r="AH234" s="304">
        <f t="shared" ca="1" si="115"/>
        <v>89.122949596969491</v>
      </c>
    </row>
    <row r="235" spans="1:34" x14ac:dyDescent="0.2">
      <c r="A235" s="347">
        <f t="shared" ca="1" si="93"/>
        <v>0.01</v>
      </c>
      <c r="B235" s="304">
        <f t="shared" ca="1" si="94"/>
        <v>2.3099999999999947</v>
      </c>
      <c r="D235" s="306">
        <f t="shared" ca="1" si="95"/>
        <v>29.66829380918043</v>
      </c>
      <c r="E235" s="307">
        <f t="shared" ca="1" si="96"/>
        <v>74.273057035950885</v>
      </c>
      <c r="F235" s="304">
        <f t="shared" ca="1" si="97"/>
        <v>79.979338950840713</v>
      </c>
      <c r="G235" s="306">
        <f t="shared" ca="1" si="98"/>
        <v>55.305877589375967</v>
      </c>
      <c r="H235" s="307">
        <f t="shared" ca="1" si="99"/>
        <v>156.64455900426844</v>
      </c>
      <c r="I235" s="304">
        <f t="shared" ca="1" si="100"/>
        <v>166.12121466439132</v>
      </c>
      <c r="J235" s="306">
        <f t="shared" ca="1" si="101"/>
        <v>57.118098864508092</v>
      </c>
      <c r="K235" s="307">
        <f t="shared" ca="1" si="102"/>
        <v>173.1011715050806</v>
      </c>
      <c r="L235" s="304">
        <f t="shared" ca="1" si="87"/>
        <v>182.28135613475956</v>
      </c>
      <c r="M235" s="306">
        <f t="shared" ca="1" si="103"/>
        <v>1.2313926645929412</v>
      </c>
      <c r="N235" s="304">
        <f t="shared" ca="1" si="104"/>
        <v>70.553602604544096</v>
      </c>
      <c r="P235" s="310">
        <f t="shared" ca="1" si="105"/>
        <v>8</v>
      </c>
      <c r="Q235" s="304">
        <f t="shared" ca="1" si="106"/>
        <v>2070.0877557251902</v>
      </c>
      <c r="R235" s="306">
        <f t="shared" ca="1" si="107"/>
        <v>1.2448972370812033</v>
      </c>
      <c r="S235" s="307">
        <f t="shared" ca="1" si="108"/>
        <v>21.064983037666927</v>
      </c>
      <c r="T235" s="304">
        <f t="shared" ca="1" si="88"/>
        <v>206.64748359951255</v>
      </c>
      <c r="U235" s="311">
        <f t="shared" ca="1" si="89"/>
        <v>0</v>
      </c>
      <c r="V235" s="306">
        <f t="shared" ca="1" si="90"/>
        <v>1.2039770612568734</v>
      </c>
      <c r="W235" s="304">
        <f t="shared" ca="1" si="91"/>
        <v>193.68458911832121</v>
      </c>
      <c r="Y235" s="314" t="str">
        <f t="shared" ca="1" si="109"/>
        <v/>
      </c>
      <c r="Z235" s="315" t="str">
        <f t="shared" ca="1" si="110"/>
        <v/>
      </c>
      <c r="AA235" s="316" t="str">
        <f t="shared" ca="1" si="111"/>
        <v/>
      </c>
      <c r="AC235" s="310" t="e">
        <f t="shared" ca="1" si="112"/>
        <v>#N/A</v>
      </c>
      <c r="AD235" s="323" t="e">
        <f t="shared" ca="1" si="113"/>
        <v>#N/A</v>
      </c>
      <c r="AE235" s="324">
        <f t="shared" ca="1" si="92"/>
        <v>173.1011715050806</v>
      </c>
      <c r="AG235" s="306">
        <f t="shared" ca="1" si="114"/>
        <v>79.912701250761728</v>
      </c>
      <c r="AH235" s="304">
        <f t="shared" ca="1" si="115"/>
        <v>89.163715367064114</v>
      </c>
    </row>
    <row r="236" spans="1:34" x14ac:dyDescent="0.2">
      <c r="A236" s="347">
        <f t="shared" ca="1" si="93"/>
        <v>0.01</v>
      </c>
      <c r="B236" s="304">
        <f t="shared" ca="1" si="94"/>
        <v>2.3199999999999945</v>
      </c>
      <c r="D236" s="306">
        <f t="shared" ca="1" si="95"/>
        <v>29.698270731846403</v>
      </c>
      <c r="E236" s="307">
        <f t="shared" ca="1" si="96"/>
        <v>74.305336827655694</v>
      </c>
      <c r="F236" s="304">
        <f t="shared" ca="1" si="97"/>
        <v>80.02043717409579</v>
      </c>
      <c r="G236" s="306">
        <f t="shared" ca="1" si="98"/>
        <v>55.602860296694431</v>
      </c>
      <c r="H236" s="307">
        <f t="shared" ca="1" si="99"/>
        <v>157.38761237254499</v>
      </c>
      <c r="I236" s="304">
        <f t="shared" ca="1" si="100"/>
        <v>166.92075545450959</v>
      </c>
      <c r="J236" s="306">
        <f t="shared" ca="1" si="101"/>
        <v>57.672642553938445</v>
      </c>
      <c r="K236" s="307">
        <f t="shared" ca="1" si="102"/>
        <v>174.67133236196466</v>
      </c>
      <c r="L236" s="304">
        <f t="shared" ca="1" si="87"/>
        <v>183.94620965993911</v>
      </c>
      <c r="M236" s="306">
        <f t="shared" ca="1" si="103"/>
        <v>1.2311970033272044</v>
      </c>
      <c r="N236" s="304">
        <f t="shared" ca="1" si="104"/>
        <v>70.54239203980319</v>
      </c>
      <c r="P236" s="310">
        <f t="shared" ca="1" si="105"/>
        <v>8</v>
      </c>
      <c r="Q236" s="304">
        <f t="shared" ca="1" si="106"/>
        <v>2071.6567760814241</v>
      </c>
      <c r="R236" s="306">
        <f t="shared" ca="1" si="107"/>
        <v>1.2458408053434655</v>
      </c>
      <c r="S236" s="307">
        <f t="shared" ca="1" si="108"/>
        <v>21.052524629613494</v>
      </c>
      <c r="T236" s="304">
        <f t="shared" ca="1" si="88"/>
        <v>206.52526661650839</v>
      </c>
      <c r="U236" s="311">
        <f t="shared" ca="1" si="89"/>
        <v>0</v>
      </c>
      <c r="V236" s="306">
        <f t="shared" ca="1" si="90"/>
        <v>1.203788018043181</v>
      </c>
      <c r="W236" s="304">
        <f t="shared" ca="1" si="91"/>
        <v>195.52277727449271</v>
      </c>
      <c r="Y236" s="314" t="str">
        <f t="shared" ca="1" si="109"/>
        <v/>
      </c>
      <c r="Z236" s="315" t="str">
        <f t="shared" ca="1" si="110"/>
        <v/>
      </c>
      <c r="AA236" s="316" t="str">
        <f t="shared" ca="1" si="111"/>
        <v/>
      </c>
      <c r="AC236" s="310" t="e">
        <f t="shared" ca="1" si="112"/>
        <v>#N/A</v>
      </c>
      <c r="AD236" s="323" t="e">
        <f t="shared" ca="1" si="113"/>
        <v>#N/A</v>
      </c>
      <c r="AE236" s="324">
        <f t="shared" ca="1" si="92"/>
        <v>174.67133236196466</v>
      </c>
      <c r="AG236" s="306">
        <f t="shared" ca="1" si="114"/>
        <v>79.953759497705192</v>
      </c>
      <c r="AH236" s="304">
        <f t="shared" ca="1" si="115"/>
        <v>89.204132046066206</v>
      </c>
    </row>
    <row r="237" spans="1:34" x14ac:dyDescent="0.2">
      <c r="A237" s="347">
        <f t="shared" ca="1" si="93"/>
        <v>0.01</v>
      </c>
      <c r="B237" s="304">
        <f t="shared" ca="1" si="94"/>
        <v>2.3299999999999943</v>
      </c>
      <c r="D237" s="306">
        <f t="shared" ca="1" si="95"/>
        <v>29.728075022097748</v>
      </c>
      <c r="E237" s="307">
        <f t="shared" ca="1" si="96"/>
        <v>74.337303271698985</v>
      </c>
      <c r="F237" s="304">
        <f t="shared" ca="1" si="97"/>
        <v>80.061183492551621</v>
      </c>
      <c r="G237" s="306">
        <f t="shared" ca="1" si="98"/>
        <v>55.900141046915408</v>
      </c>
      <c r="H237" s="307">
        <f t="shared" ca="1" si="99"/>
        <v>158.13098540526198</v>
      </c>
      <c r="I237" s="304">
        <f t="shared" ca="1" si="100"/>
        <v>167.72070329659428</v>
      </c>
      <c r="J237" s="306">
        <f t="shared" ca="1" si="101"/>
        <v>58.230157560656494</v>
      </c>
      <c r="K237" s="307">
        <f t="shared" ca="1" si="102"/>
        <v>176.24892535085368</v>
      </c>
      <c r="L237" s="304">
        <f t="shared" ca="1" si="87"/>
        <v>185.61905865742796</v>
      </c>
      <c r="M237" s="306">
        <f t="shared" ca="1" si="103"/>
        <v>1.231002167362313</v>
      </c>
      <c r="N237" s="304">
        <f t="shared" ca="1" si="104"/>
        <v>70.53122876131755</v>
      </c>
      <c r="P237" s="310">
        <f t="shared" ca="1" si="105"/>
        <v>8</v>
      </c>
      <c r="Q237" s="304">
        <f t="shared" ca="1" si="106"/>
        <v>2073.2257964376586</v>
      </c>
      <c r="R237" s="306">
        <f t="shared" ca="1" si="107"/>
        <v>1.246784373605728</v>
      </c>
      <c r="S237" s="307">
        <f t="shared" ca="1" si="108"/>
        <v>21.040056785877436</v>
      </c>
      <c r="T237" s="304">
        <f t="shared" ca="1" si="88"/>
        <v>206.40295706945767</v>
      </c>
      <c r="U237" s="311">
        <f t="shared" ca="1" si="89"/>
        <v>0</v>
      </c>
      <c r="V237" s="306">
        <f t="shared" ca="1" si="90"/>
        <v>1.2035981096532253</v>
      </c>
      <c r="W237" s="304">
        <f t="shared" ca="1" si="91"/>
        <v>197.37016524824818</v>
      </c>
      <c r="Y237" s="314" t="str">
        <f t="shared" ca="1" si="109"/>
        <v/>
      </c>
      <c r="Z237" s="315" t="str">
        <f t="shared" ca="1" si="110"/>
        <v/>
      </c>
      <c r="AA237" s="316" t="str">
        <f t="shared" ca="1" si="111"/>
        <v/>
      </c>
      <c r="AC237" s="310" t="e">
        <f t="shared" ca="1" si="112"/>
        <v>#N/A</v>
      </c>
      <c r="AD237" s="323" t="e">
        <f t="shared" ca="1" si="113"/>
        <v>#N/A</v>
      </c>
      <c r="AE237" s="324">
        <f t="shared" ca="1" si="92"/>
        <v>176.24892535085368</v>
      </c>
      <c r="AG237" s="306">
        <f t="shared" ca="1" si="114"/>
        <v>79.99446586574318</v>
      </c>
      <c r="AH237" s="304">
        <f t="shared" ca="1" si="115"/>
        <v>89.244199208793148</v>
      </c>
    </row>
    <row r="238" spans="1:34" x14ac:dyDescent="0.2">
      <c r="A238" s="347">
        <f t="shared" ca="1" si="93"/>
        <v>0.01</v>
      </c>
      <c r="B238" s="304">
        <f t="shared" ca="1" si="94"/>
        <v>2.3399999999999941</v>
      </c>
      <c r="D238" s="306">
        <f t="shared" ca="1" si="95"/>
        <v>29.757706854310101</v>
      </c>
      <c r="E238" s="307">
        <f t="shared" ca="1" si="96"/>
        <v>74.368955905025075</v>
      </c>
      <c r="F238" s="304">
        <f t="shared" ca="1" si="97"/>
        <v>80.101577510250181</v>
      </c>
      <c r="G238" s="306">
        <f t="shared" ca="1" si="98"/>
        <v>56.197718115458507</v>
      </c>
      <c r="H238" s="307">
        <f t="shared" ca="1" si="99"/>
        <v>158.87467496431222</v>
      </c>
      <c r="I238" s="304">
        <f t="shared" ca="1" si="100"/>
        <v>168.52105466795652</v>
      </c>
      <c r="J238" s="306">
        <f t="shared" ca="1" si="101"/>
        <v>58.790646856468364</v>
      </c>
      <c r="K238" s="307">
        <f t="shared" ca="1" si="102"/>
        <v>177.83395365270155</v>
      </c>
      <c r="L238" s="304">
        <f t="shared" ca="1" si="87"/>
        <v>187.29990717977725</v>
      </c>
      <c r="M238" s="306">
        <f t="shared" ca="1" si="103"/>
        <v>1.2308081497880183</v>
      </c>
      <c r="N238" s="304">
        <f t="shared" ca="1" si="104"/>
        <v>70.520112373159094</v>
      </c>
      <c r="P238" s="310">
        <f t="shared" ca="1" si="105"/>
        <v>8</v>
      </c>
      <c r="Q238" s="304">
        <f t="shared" ca="1" si="106"/>
        <v>2074.7948167938926</v>
      </c>
      <c r="R238" s="306">
        <f t="shared" ca="1" si="107"/>
        <v>1.2477279418679901</v>
      </c>
      <c r="S238" s="307">
        <f t="shared" ca="1" si="108"/>
        <v>21.027579506458757</v>
      </c>
      <c r="T238" s="304">
        <f t="shared" ca="1" si="88"/>
        <v>206.28055495836043</v>
      </c>
      <c r="U238" s="311">
        <f t="shared" ca="1" si="89"/>
        <v>0</v>
      </c>
      <c r="V238" s="306">
        <f t="shared" ca="1" si="90"/>
        <v>1.2034073361169551</v>
      </c>
      <c r="W238" s="304">
        <f t="shared" ca="1" si="91"/>
        <v>199.22674967110845</v>
      </c>
      <c r="Y238" s="314" t="str">
        <f t="shared" ca="1" si="109"/>
        <v/>
      </c>
      <c r="Z238" s="315" t="str">
        <f t="shared" ca="1" si="110"/>
        <v/>
      </c>
      <c r="AA238" s="316" t="str">
        <f t="shared" ca="1" si="111"/>
        <v/>
      </c>
      <c r="AC238" s="310" t="e">
        <f t="shared" ca="1" si="112"/>
        <v>#N/A</v>
      </c>
      <c r="AD238" s="323" t="e">
        <f t="shared" ca="1" si="113"/>
        <v>#N/A</v>
      </c>
      <c r="AE238" s="324">
        <f t="shared" ca="1" si="92"/>
        <v>177.83395365270155</v>
      </c>
      <c r="AG238" s="306">
        <f t="shared" ca="1" si="114"/>
        <v>80.03481995584599</v>
      </c>
      <c r="AH238" s="304">
        <f t="shared" ca="1" si="115"/>
        <v>89.283916437884884</v>
      </c>
    </row>
    <row r="239" spans="1:34" x14ac:dyDescent="0.2">
      <c r="A239" s="347">
        <f t="shared" ca="1" si="93"/>
        <v>0.01</v>
      </c>
      <c r="B239" s="304">
        <f t="shared" ca="1" si="94"/>
        <v>2.3499999999999939</v>
      </c>
      <c r="D239" s="306">
        <f t="shared" ca="1" si="95"/>
        <v>29.787166400486395</v>
      </c>
      <c r="E239" s="307">
        <f t="shared" ca="1" si="96"/>
        <v>74.40029427320097</v>
      </c>
      <c r="F239" s="304">
        <f t="shared" ca="1" si="97"/>
        <v>80.141618838835342</v>
      </c>
      <c r="G239" s="306">
        <f t="shared" ca="1" si="98"/>
        <v>56.495589779463373</v>
      </c>
      <c r="H239" s="307">
        <f t="shared" ca="1" si="99"/>
        <v>159.61867790704423</v>
      </c>
      <c r="I239" s="304">
        <f t="shared" ca="1" si="100"/>
        <v>169.32180604199252</v>
      </c>
      <c r="J239" s="306">
        <f t="shared" ca="1" si="101"/>
        <v>59.354113395942974</v>
      </c>
      <c r="K239" s="307">
        <f t="shared" ca="1" si="102"/>
        <v>179.42642041705832</v>
      </c>
      <c r="L239" s="304">
        <f t="shared" ca="1" si="87"/>
        <v>188.98875924429322</v>
      </c>
      <c r="M239" s="306">
        <f t="shared" ca="1" si="103"/>
        <v>1.2306149437783229</v>
      </c>
      <c r="N239" s="304">
        <f t="shared" ca="1" si="104"/>
        <v>70.509042484226995</v>
      </c>
      <c r="P239" s="310">
        <f t="shared" ca="1" si="105"/>
        <v>8</v>
      </c>
      <c r="Q239" s="304">
        <f t="shared" ca="1" si="106"/>
        <v>2076.3638371501265</v>
      </c>
      <c r="R239" s="306">
        <f t="shared" ca="1" si="107"/>
        <v>1.2486715101302523</v>
      </c>
      <c r="S239" s="307">
        <f t="shared" ca="1" si="108"/>
        <v>21.015092791357453</v>
      </c>
      <c r="T239" s="304">
        <f t="shared" ca="1" si="88"/>
        <v>206.15806028321663</v>
      </c>
      <c r="U239" s="311">
        <f t="shared" ca="1" si="89"/>
        <v>0</v>
      </c>
      <c r="V239" s="306">
        <f t="shared" ca="1" si="90"/>
        <v>1.2032156974701214</v>
      </c>
      <c r="W239" s="304">
        <f t="shared" ca="1" si="91"/>
        <v>201.09252696889732</v>
      </c>
      <c r="Y239" s="314" t="str">
        <f t="shared" ca="1" si="109"/>
        <v/>
      </c>
      <c r="Z239" s="315" t="str">
        <f t="shared" ca="1" si="110"/>
        <v/>
      </c>
      <c r="AA239" s="316" t="str">
        <f t="shared" ca="1" si="111"/>
        <v/>
      </c>
      <c r="AC239" s="310" t="e">
        <f t="shared" ca="1" si="112"/>
        <v>#N/A</v>
      </c>
      <c r="AD239" s="323" t="e">
        <f t="shared" ca="1" si="113"/>
        <v>#N/A</v>
      </c>
      <c r="AE239" s="324">
        <f t="shared" ca="1" si="92"/>
        <v>179.42642041705832</v>
      </c>
      <c r="AG239" s="306">
        <f t="shared" ca="1" si="114"/>
        <v>80.07482137662322</v>
      </c>
      <c r="AH239" s="304">
        <f t="shared" ca="1" si="115"/>
        <v>89.323283323830907</v>
      </c>
    </row>
    <row r="240" spans="1:34" x14ac:dyDescent="0.2">
      <c r="A240" s="347">
        <f t="shared" ca="1" si="93"/>
        <v>0.01</v>
      </c>
      <c r="B240" s="304">
        <f t="shared" ca="1" si="94"/>
        <v>2.3599999999999937</v>
      </c>
      <c r="D240" s="306">
        <f t="shared" ca="1" si="95"/>
        <v>29.816453830358608</v>
      </c>
      <c r="E240" s="307">
        <f t="shared" ca="1" si="96"/>
        <v>74.431317930418345</v>
      </c>
      <c r="F240" s="304">
        <f t="shared" ca="1" si="97"/>
        <v>80.181307097583044</v>
      </c>
      <c r="G240" s="306">
        <f t="shared" ca="1" si="98"/>
        <v>56.793754317766961</v>
      </c>
      <c r="H240" s="307">
        <f t="shared" ca="1" si="99"/>
        <v>160.36299108634842</v>
      </c>
      <c r="I240" s="304">
        <f t="shared" ca="1" si="100"/>
        <v>170.1229538882603</v>
      </c>
      <c r="J240" s="306">
        <f t="shared" ca="1" si="101"/>
        <v>59.920560116429129</v>
      </c>
      <c r="K240" s="307">
        <f t="shared" ca="1" si="102"/>
        <v>181.02632876202529</v>
      </c>
      <c r="L240" s="304">
        <f t="shared" ca="1" si="87"/>
        <v>190.68561883299816</v>
      </c>
      <c r="M240" s="306">
        <f t="shared" ca="1" si="103"/>
        <v>1.2304225425901016</v>
      </c>
      <c r="N240" s="304">
        <f t="shared" ca="1" si="104"/>
        <v>70.498018708168601</v>
      </c>
      <c r="P240" s="310">
        <f t="shared" ca="1" si="105"/>
        <v>8</v>
      </c>
      <c r="Q240" s="304">
        <f t="shared" ca="1" si="106"/>
        <v>2077.9328575063605</v>
      </c>
      <c r="R240" s="306">
        <f t="shared" ca="1" si="107"/>
        <v>1.2496150783925146</v>
      </c>
      <c r="S240" s="307">
        <f t="shared" ca="1" si="108"/>
        <v>21.002596640573529</v>
      </c>
      <c r="T240" s="304">
        <f t="shared" ca="1" si="88"/>
        <v>206.03547304402633</v>
      </c>
      <c r="U240" s="311">
        <f t="shared" ca="1" si="89"/>
        <v>0</v>
      </c>
      <c r="V240" s="306">
        <f t="shared" ca="1" si="90"/>
        <v>1.2030231937542808</v>
      </c>
      <c r="W240" s="304">
        <f t="shared" ca="1" si="91"/>
        <v>202.9674933616453</v>
      </c>
      <c r="Y240" s="314" t="str">
        <f t="shared" ca="1" si="109"/>
        <v/>
      </c>
      <c r="Z240" s="315" t="str">
        <f t="shared" ca="1" si="110"/>
        <v/>
      </c>
      <c r="AA240" s="316" t="str">
        <f t="shared" ca="1" si="111"/>
        <v/>
      </c>
      <c r="AC240" s="310" t="e">
        <f t="shared" ca="1" si="112"/>
        <v>#N/A</v>
      </c>
      <c r="AD240" s="323" t="e">
        <f t="shared" ca="1" si="113"/>
        <v>#N/A</v>
      </c>
      <c r="AE240" s="324">
        <f t="shared" ca="1" si="92"/>
        <v>181.02632876202529</v>
      </c>
      <c r="AG240" s="306">
        <f t="shared" ca="1" si="114"/>
        <v>80.114469744353499</v>
      </c>
      <c r="AH240" s="304">
        <f t="shared" ca="1" si="115"/>
        <v>89.362299464996596</v>
      </c>
    </row>
    <row r="241" spans="1:34" x14ac:dyDescent="0.2">
      <c r="A241" s="347">
        <f t="shared" ca="1" si="93"/>
        <v>0.01</v>
      </c>
      <c r="B241" s="304">
        <f t="shared" ca="1" si="94"/>
        <v>2.3699999999999934</v>
      </c>
      <c r="D241" s="306">
        <f t="shared" ca="1" si="95"/>
        <v>29.845569311487754</v>
      </c>
      <c r="E241" s="307">
        <f t="shared" ca="1" si="96"/>
        <v>74.462026439496157</v>
      </c>
      <c r="F241" s="304">
        <f t="shared" ca="1" si="97"/>
        <v>80.220641913431763</v>
      </c>
      <c r="G241" s="306">
        <f t="shared" ca="1" si="98"/>
        <v>57.092210010881836</v>
      </c>
      <c r="H241" s="307">
        <f t="shared" ca="1" si="99"/>
        <v>161.10761135074338</v>
      </c>
      <c r="I241" s="304">
        <f t="shared" ca="1" si="100"/>
        <v>170.92449467255656</v>
      </c>
      <c r="J241" s="306">
        <f t="shared" ca="1" si="101"/>
        <v>60.489989938072377</v>
      </c>
      <c r="K241" s="307">
        <f t="shared" ca="1" si="102"/>
        <v>182.63368177421074</v>
      </c>
      <c r="L241" s="304">
        <f t="shared" ca="1" si="87"/>
        <v>192.3904898925926</v>
      </c>
      <c r="M241" s="306">
        <f t="shared" ca="1" si="103"/>
        <v>1.2302309395617508</v>
      </c>
      <c r="N241" s="304">
        <f t="shared" ca="1" si="104"/>
        <v>70.487040663302182</v>
      </c>
      <c r="P241" s="310">
        <f t="shared" ca="1" si="105"/>
        <v>8</v>
      </c>
      <c r="Q241" s="304">
        <f t="shared" ca="1" si="106"/>
        <v>2079.5018778625945</v>
      </c>
      <c r="R241" s="306">
        <f t="shared" ca="1" si="107"/>
        <v>1.2505586466547767</v>
      </c>
      <c r="S241" s="307">
        <f t="shared" ca="1" si="108"/>
        <v>20.99009105410698</v>
      </c>
      <c r="T241" s="304">
        <f t="shared" ca="1" si="88"/>
        <v>205.91279324078948</v>
      </c>
      <c r="U241" s="311">
        <f t="shared" ca="1" si="89"/>
        <v>0</v>
      </c>
      <c r="V241" s="306">
        <f t="shared" ca="1" si="90"/>
        <v>1.2028298250167972</v>
      </c>
      <c r="W241" s="304">
        <f t="shared" ca="1" si="91"/>
        <v>204.85164486350223</v>
      </c>
      <c r="Y241" s="314" t="str">
        <f t="shared" ca="1" si="109"/>
        <v/>
      </c>
      <c r="Z241" s="315" t="str">
        <f t="shared" ca="1" si="110"/>
        <v/>
      </c>
      <c r="AA241" s="316" t="str">
        <f t="shared" ca="1" si="111"/>
        <v/>
      </c>
      <c r="AC241" s="310" t="e">
        <f t="shared" ca="1" si="112"/>
        <v>#N/A</v>
      </c>
      <c r="AD241" s="323" t="e">
        <f t="shared" ca="1" si="113"/>
        <v>#N/A</v>
      </c>
      <c r="AE241" s="324">
        <f t="shared" ca="1" si="92"/>
        <v>182.63368177421074</v>
      </c>
      <c r="AG241" s="306">
        <f t="shared" ca="1" si="114"/>
        <v>80.15376468301416</v>
      </c>
      <c r="AH241" s="304">
        <f t="shared" ca="1" si="115"/>
        <v>89.400964467649672</v>
      </c>
    </row>
    <row r="242" spans="1:34" x14ac:dyDescent="0.2">
      <c r="A242" s="347">
        <f t="shared" ca="1" si="93"/>
        <v>0.01</v>
      </c>
      <c r="B242" s="304">
        <f t="shared" ca="1" si="94"/>
        <v>2.3799999999999932</v>
      </c>
      <c r="D242" s="306">
        <f t="shared" ca="1" si="95"/>
        <v>29.874513009361664</v>
      </c>
      <c r="E242" s="307">
        <f t="shared" ca="1" si="96"/>
        <v>74.492419371882775</v>
      </c>
      <c r="F242" s="304">
        <f t="shared" ca="1" si="97"/>
        <v>80.259622921011626</v>
      </c>
      <c r="G242" s="306">
        <f t="shared" ca="1" si="98"/>
        <v>57.39095514097545</v>
      </c>
      <c r="H242" s="307">
        <f t="shared" ca="1" si="99"/>
        <v>161.8525355444622</v>
      </c>
      <c r="I242" s="304">
        <f t="shared" ca="1" si="100"/>
        <v>171.72642485699416</v>
      </c>
      <c r="J242" s="306">
        <f t="shared" ca="1" si="101"/>
        <v>61.062405763831663</v>
      </c>
      <c r="K242" s="307">
        <f t="shared" ca="1" si="102"/>
        <v>184.24848250868678</v>
      </c>
      <c r="L242" s="304">
        <f t="shared" ca="1" si="87"/>
        <v>194.10337633441796</v>
      </c>
      <c r="M242" s="306">
        <f t="shared" ca="1" si="103"/>
        <v>1.2300401281118656</v>
      </c>
      <c r="N242" s="304">
        <f t="shared" ca="1" si="104"/>
        <v>70.476107972540987</v>
      </c>
      <c r="P242" s="310">
        <f t="shared" ca="1" si="105"/>
        <v>8</v>
      </c>
      <c r="Q242" s="304">
        <f t="shared" ca="1" si="106"/>
        <v>2081.0708982188285</v>
      </c>
      <c r="R242" s="306">
        <f t="shared" ca="1" si="107"/>
        <v>1.2515022149170389</v>
      </c>
      <c r="S242" s="307">
        <f t="shared" ca="1" si="108"/>
        <v>20.97757603195781</v>
      </c>
      <c r="T242" s="304">
        <f t="shared" ca="1" si="88"/>
        <v>205.79002087350614</v>
      </c>
      <c r="U242" s="311">
        <f t="shared" ca="1" si="89"/>
        <v>0</v>
      </c>
      <c r="V242" s="306">
        <f t="shared" ca="1" si="90"/>
        <v>1.2026355913108449</v>
      </c>
      <c r="W242" s="304">
        <f t="shared" ca="1" si="91"/>
        <v>206.74497728266132</v>
      </c>
      <c r="Y242" s="314" t="str">
        <f t="shared" ca="1" si="109"/>
        <v/>
      </c>
      <c r="Z242" s="315" t="str">
        <f t="shared" ca="1" si="110"/>
        <v/>
      </c>
      <c r="AA242" s="316" t="str">
        <f t="shared" ca="1" si="111"/>
        <v/>
      </c>
      <c r="AC242" s="310" t="e">
        <f t="shared" ca="1" si="112"/>
        <v>#N/A</v>
      </c>
      <c r="AD242" s="323" t="e">
        <f t="shared" ca="1" si="113"/>
        <v>#N/A</v>
      </c>
      <c r="AE242" s="324">
        <f t="shared" ca="1" si="92"/>
        <v>184.24848250868678</v>
      </c>
      <c r="AG242" s="306">
        <f t="shared" ca="1" si="114"/>
        <v>80.192705824310039</v>
      </c>
      <c r="AH242" s="304">
        <f t="shared" ca="1" si="115"/>
        <v>89.439277945985879</v>
      </c>
    </row>
    <row r="243" spans="1:34" x14ac:dyDescent="0.2">
      <c r="A243" s="347">
        <f t="shared" ca="1" si="93"/>
        <v>0.01</v>
      </c>
      <c r="B243" s="304">
        <f t="shared" ca="1" si="94"/>
        <v>2.389999999999993</v>
      </c>
      <c r="D243" s="306">
        <f t="shared" ca="1" si="95"/>
        <v>29.903285087491017</v>
      </c>
      <c r="E243" s="307">
        <f t="shared" ca="1" si="96"/>
        <v>74.522496307658869</v>
      </c>
      <c r="F243" s="304">
        <f t="shared" ca="1" si="97"/>
        <v>80.298249762674104</v>
      </c>
      <c r="G243" s="306">
        <f t="shared" ca="1" si="98"/>
        <v>57.689987991850359</v>
      </c>
      <c r="H243" s="307">
        <f t="shared" ca="1" si="99"/>
        <v>162.59776050753879</v>
      </c>
      <c r="I243" s="304">
        <f t="shared" ca="1" si="100"/>
        <v>172.52874090007955</v>
      </c>
      <c r="J243" s="306">
        <f t="shared" ca="1" si="101"/>
        <v>61.637810479495791</v>
      </c>
      <c r="K243" s="307">
        <f t="shared" ca="1" si="102"/>
        <v>185.8707339889468</v>
      </c>
      <c r="L243" s="304">
        <f t="shared" ca="1" si="87"/>
        <v>195.82428203441998</v>
      </c>
      <c r="M243" s="306">
        <f t="shared" ca="1" si="103"/>
        <v>1.2298501017379422</v>
      </c>
      <c r="N243" s="304">
        <f t="shared" ca="1" si="104"/>
        <v>70.465220263318997</v>
      </c>
      <c r="P243" s="310">
        <f t="shared" ca="1" si="105"/>
        <v>8</v>
      </c>
      <c r="Q243" s="304">
        <f t="shared" ca="1" si="106"/>
        <v>2082.6399185750629</v>
      </c>
      <c r="R243" s="306">
        <f t="shared" ca="1" si="107"/>
        <v>1.2524457831793014</v>
      </c>
      <c r="S243" s="307">
        <f t="shared" ca="1" si="108"/>
        <v>20.965051574126015</v>
      </c>
      <c r="T243" s="304">
        <f t="shared" ca="1" si="88"/>
        <v>205.66715594217621</v>
      </c>
      <c r="U243" s="311">
        <f t="shared" ca="1" si="89"/>
        <v>0</v>
      </c>
      <c r="V243" s="306">
        <f t="shared" ca="1" si="90"/>
        <v>1.2024404926954106</v>
      </c>
      <c r="W243" s="304">
        <f t="shared" ca="1" si="91"/>
        <v>208.64748622129201</v>
      </c>
      <c r="Y243" s="314" t="str">
        <f t="shared" ca="1" si="109"/>
        <v/>
      </c>
      <c r="Z243" s="315" t="str">
        <f t="shared" ca="1" si="110"/>
        <v/>
      </c>
      <c r="AA243" s="316" t="str">
        <f t="shared" ca="1" si="111"/>
        <v/>
      </c>
      <c r="AC243" s="310" t="e">
        <f t="shared" ca="1" si="112"/>
        <v>#N/A</v>
      </c>
      <c r="AD243" s="323" t="e">
        <f t="shared" ca="1" si="113"/>
        <v>#N/A</v>
      </c>
      <c r="AE243" s="324">
        <f t="shared" ca="1" si="92"/>
        <v>185.8707339889468</v>
      </c>
      <c r="AG243" s="306">
        <f t="shared" ca="1" si="114"/>
        <v>80.231292807702431</v>
      </c>
      <c r="AH243" s="304">
        <f t="shared" ca="1" si="115"/>
        <v>89.47723952215479</v>
      </c>
    </row>
    <row r="244" spans="1:34" x14ac:dyDescent="0.2">
      <c r="A244" s="347">
        <f t="shared" ca="1" si="93"/>
        <v>0.01</v>
      </c>
      <c r="B244" s="304">
        <f t="shared" ca="1" si="94"/>
        <v>2.3999999999999928</v>
      </c>
      <c r="D244" s="306">
        <f t="shared" ca="1" si="95"/>
        <v>29.931885707503508</v>
      </c>
      <c r="E244" s="307">
        <f t="shared" ca="1" si="96"/>
        <v>74.552256835539637</v>
      </c>
      <c r="F244" s="304">
        <f t="shared" ca="1" si="97"/>
        <v>80.336522088520354</v>
      </c>
      <c r="G244" s="306">
        <f t="shared" ca="1" si="98"/>
        <v>57.989306848925395</v>
      </c>
      <c r="H244" s="307">
        <f t="shared" ca="1" si="99"/>
        <v>163.34328307589419</v>
      </c>
      <c r="I244" s="304">
        <f t="shared" ca="1" si="100"/>
        <v>173.3314392567907</v>
      </c>
      <c r="J244" s="306">
        <f t="shared" ca="1" si="101"/>
        <v>62.216206953699668</v>
      </c>
      <c r="K244" s="307">
        <f t="shared" ca="1" si="102"/>
        <v>187.50043920686397</v>
      </c>
      <c r="L244" s="304">
        <f t="shared" ca="1" si="87"/>
        <v>197.55321083311321</v>
      </c>
      <c r="M244" s="306">
        <f t="shared" ca="1" si="103"/>
        <v>1.2296608540151104</v>
      </c>
      <c r="N244" s="304">
        <f t="shared" ca="1" si="104"/>
        <v>70.454377167518274</v>
      </c>
      <c r="P244" s="310">
        <f t="shared" ca="1" si="105"/>
        <v>8</v>
      </c>
      <c r="Q244" s="304">
        <f t="shared" ca="1" si="106"/>
        <v>2084.2089389312969</v>
      </c>
      <c r="R244" s="306">
        <f t="shared" ca="1" si="107"/>
        <v>1.2533893514415635</v>
      </c>
      <c r="S244" s="307">
        <f t="shared" ca="1" si="108"/>
        <v>20.952517680611599</v>
      </c>
      <c r="T244" s="304">
        <f t="shared" ca="1" si="88"/>
        <v>205.54419844679981</v>
      </c>
      <c r="U244" s="311">
        <f t="shared" ca="1" si="89"/>
        <v>0</v>
      </c>
      <c r="V244" s="306">
        <f t="shared" ca="1" si="90"/>
        <v>1.2022445292352963</v>
      </c>
      <c r="W244" s="304">
        <f t="shared" ca="1" si="91"/>
        <v>210.5591670754836</v>
      </c>
      <c r="Y244" s="314" t="str">
        <f t="shared" ca="1" si="109"/>
        <v/>
      </c>
      <c r="Z244" s="315" t="str">
        <f t="shared" ca="1" si="110"/>
        <v/>
      </c>
      <c r="AA244" s="316" t="str">
        <f t="shared" ca="1" si="111"/>
        <v/>
      </c>
      <c r="AC244" s="310" t="e">
        <f t="shared" ca="1" si="112"/>
        <v>#N/A</v>
      </c>
      <c r="AD244" s="323" t="e">
        <f t="shared" ca="1" si="113"/>
        <v>#N/A</v>
      </c>
      <c r="AE244" s="324">
        <f t="shared" ca="1" si="92"/>
        <v>187.50043920686397</v>
      </c>
      <c r="AG244" s="306">
        <f t="shared" ca="1" si="114"/>
        <v>80.269525280437065</v>
      </c>
      <c r="AH244" s="304">
        <f t="shared" ca="1" si="115"/>
        <v>89.51484882628472</v>
      </c>
    </row>
    <row r="245" spans="1:34" x14ac:dyDescent="0.2">
      <c r="A245" s="347">
        <f t="shared" ca="1" si="93"/>
        <v>0.01</v>
      </c>
      <c r="B245" s="304">
        <f t="shared" ca="1" si="94"/>
        <v>2.4099999999999926</v>
      </c>
      <c r="D245" s="306">
        <f t="shared" ca="1" si="95"/>
        <v>29.960315029236021</v>
      </c>
      <c r="E245" s="307">
        <f t="shared" ca="1" si="96"/>
        <v>74.581700552877948</v>
      </c>
      <c r="F245" s="304">
        <f t="shared" ca="1" si="97"/>
        <v>80.374439556430005</v>
      </c>
      <c r="G245" s="306">
        <f t="shared" ca="1" si="98"/>
        <v>58.288909999217758</v>
      </c>
      <c r="H245" s="307">
        <f t="shared" ca="1" si="99"/>
        <v>164.08910008142297</v>
      </c>
      <c r="I245" s="304">
        <f t="shared" ca="1" si="100"/>
        <v>174.13451637865523</v>
      </c>
      <c r="J245" s="306">
        <f t="shared" ca="1" si="101"/>
        <v>62.797598037940382</v>
      </c>
      <c r="K245" s="307">
        <f t="shared" ca="1" si="102"/>
        <v>189.13760112265055</v>
      </c>
      <c r="L245" s="304">
        <f t="shared" ca="1" si="87"/>
        <v>199.29016653554586</v>
      </c>
      <c r="M245" s="306">
        <f t="shared" ca="1" si="103"/>
        <v>1.2294723785948876</v>
      </c>
      <c r="N245" s="304">
        <f t="shared" ca="1" si="104"/>
        <v>70.443578321397553</v>
      </c>
      <c r="P245" s="310">
        <f t="shared" ca="1" si="105"/>
        <v>8</v>
      </c>
      <c r="Q245" s="304">
        <f t="shared" ca="1" si="106"/>
        <v>2085.7779592875308</v>
      </c>
      <c r="R245" s="306">
        <f t="shared" ca="1" si="107"/>
        <v>1.2543329197038258</v>
      </c>
      <c r="S245" s="307">
        <f t="shared" ca="1" si="108"/>
        <v>20.939974351414563</v>
      </c>
      <c r="T245" s="304">
        <f t="shared" ca="1" si="88"/>
        <v>205.42114838737686</v>
      </c>
      <c r="U245" s="311">
        <f t="shared" ca="1" si="89"/>
        <v>0</v>
      </c>
      <c r="V245" s="306">
        <f t="shared" ca="1" si="90"/>
        <v>1.2020477010011206</v>
      </c>
      <c r="W245" s="304">
        <f t="shared" ca="1" si="91"/>
        <v>212.48001503519862</v>
      </c>
      <c r="Y245" s="314" t="str">
        <f t="shared" ca="1" si="109"/>
        <v/>
      </c>
      <c r="Z245" s="315" t="str">
        <f t="shared" ca="1" si="110"/>
        <v/>
      </c>
      <c r="AA245" s="316" t="str">
        <f t="shared" ca="1" si="111"/>
        <v/>
      </c>
      <c r="AC245" s="310" t="e">
        <f t="shared" ca="1" si="112"/>
        <v>#N/A</v>
      </c>
      <c r="AD245" s="323" t="e">
        <f t="shared" ca="1" si="113"/>
        <v>#N/A</v>
      </c>
      <c r="AE245" s="324">
        <f t="shared" ca="1" si="92"/>
        <v>189.13760112265055</v>
      </c>
      <c r="AG245" s="306">
        <f t="shared" ca="1" si="114"/>
        <v>80.307402897572217</v>
      </c>
      <c r="AH245" s="304">
        <f t="shared" ca="1" si="115"/>
        <v>89.552105496507934</v>
      </c>
    </row>
    <row r="246" spans="1:34" x14ac:dyDescent="0.2">
      <c r="A246" s="347">
        <f t="shared" ca="1" si="93"/>
        <v>0.01</v>
      </c>
      <c r="B246" s="304">
        <f t="shared" ca="1" si="94"/>
        <v>2.4199999999999924</v>
      </c>
      <c r="D246" s="306">
        <f t="shared" ca="1" si="95"/>
        <v>29.988573210825269</v>
      </c>
      <c r="E246" s="307">
        <f t="shared" ca="1" si="96"/>
        <v>74.610827065666967</v>
      </c>
      <c r="F246" s="304">
        <f t="shared" ca="1" si="97"/>
        <v>80.412001832089032</v>
      </c>
      <c r="G246" s="306">
        <f t="shared" ca="1" si="98"/>
        <v>58.588795731326009</v>
      </c>
      <c r="H246" s="307">
        <f t="shared" ca="1" si="99"/>
        <v>164.83520835207963</v>
      </c>
      <c r="I246" s="304">
        <f t="shared" ca="1" si="100"/>
        <v>174.93796871382881</v>
      </c>
      <c r="J246" s="306">
        <f t="shared" ca="1" si="101"/>
        <v>63.381986566593099</v>
      </c>
      <c r="K246" s="307">
        <f t="shared" ca="1" si="102"/>
        <v>190.78222266481805</v>
      </c>
      <c r="L246" s="304">
        <f t="shared" ca="1" si="87"/>
        <v>201.03515291126575</v>
      </c>
      <c r="M246" s="306">
        <f t="shared" ca="1" si="103"/>
        <v>1.2292846692039601</v>
      </c>
      <c r="N246" s="304">
        <f t="shared" ca="1" si="104"/>
        <v>70.432823365522438</v>
      </c>
      <c r="P246" s="310">
        <f t="shared" ca="1" si="105"/>
        <v>8</v>
      </c>
      <c r="Q246" s="304">
        <f t="shared" ca="1" si="106"/>
        <v>2087.3469796437648</v>
      </c>
      <c r="R246" s="306">
        <f t="shared" ca="1" si="107"/>
        <v>1.2552764879660878</v>
      </c>
      <c r="S246" s="307">
        <f t="shared" ca="1" si="108"/>
        <v>20.927421586534901</v>
      </c>
      <c r="T246" s="304">
        <f t="shared" ca="1" si="88"/>
        <v>205.29800576390738</v>
      </c>
      <c r="U246" s="311">
        <f t="shared" ca="1" si="89"/>
        <v>0</v>
      </c>
      <c r="V246" s="306">
        <f t="shared" ca="1" si="90"/>
        <v>1.2018500080693204</v>
      </c>
      <c r="W246" s="304">
        <f t="shared" ca="1" si="91"/>
        <v>214.41002508423625</v>
      </c>
      <c r="Y246" s="314" t="str">
        <f t="shared" ca="1" si="109"/>
        <v/>
      </c>
      <c r="Z246" s="315" t="str">
        <f t="shared" ca="1" si="110"/>
        <v/>
      </c>
      <c r="AA246" s="316" t="str">
        <f t="shared" ca="1" si="111"/>
        <v/>
      </c>
      <c r="AC246" s="310" t="e">
        <f t="shared" ca="1" si="112"/>
        <v>#N/A</v>
      </c>
      <c r="AD246" s="323" t="e">
        <f t="shared" ca="1" si="113"/>
        <v>#N/A</v>
      </c>
      <c r="AE246" s="324">
        <f t="shared" ca="1" si="92"/>
        <v>190.78222266481805</v>
      </c>
      <c r="AG246" s="306">
        <f t="shared" ca="1" si="114"/>
        <v>80.344925322006162</v>
      </c>
      <c r="AH246" s="304">
        <f t="shared" ca="1" si="115"/>
        <v>89.589009178985094</v>
      </c>
    </row>
    <row r="247" spans="1:34" x14ac:dyDescent="0.2">
      <c r="A247" s="347">
        <f t="shared" ca="1" si="93"/>
        <v>0.01</v>
      </c>
      <c r="B247" s="304">
        <f t="shared" ca="1" si="94"/>
        <v>2.4299999999999922</v>
      </c>
      <c r="D247" s="306">
        <f t="shared" ca="1" si="95"/>
        <v>30.016660408796454</v>
      </c>
      <c r="E247" s="307">
        <f t="shared" ca="1" si="96"/>
        <v>74.639635988542992</v>
      </c>
      <c r="F247" s="304">
        <f t="shared" ca="1" si="97"/>
        <v>80.449208589017275</v>
      </c>
      <c r="G247" s="306">
        <f t="shared" ca="1" si="98"/>
        <v>58.888962335413972</v>
      </c>
      <c r="H247" s="307">
        <f t="shared" ca="1" si="99"/>
        <v>165.58160471196507</v>
      </c>
      <c r="I247" s="304">
        <f t="shared" ca="1" si="100"/>
        <v>175.74179270717383</v>
      </c>
      <c r="J247" s="306">
        <f t="shared" ca="1" si="101"/>
        <v>63.969375356926797</v>
      </c>
      <c r="K247" s="307">
        <f t="shared" ca="1" si="102"/>
        <v>192.43430673013827</v>
      </c>
      <c r="L247" s="304">
        <f t="shared" ca="1" si="87"/>
        <v>202.78817369428705</v>
      </c>
      <c r="M247" s="306">
        <f t="shared" ca="1" si="103"/>
        <v>1.2290977196429895</v>
      </c>
      <c r="N247" s="304">
        <f t="shared" ca="1" si="104"/>
        <v>70.422111944696994</v>
      </c>
      <c r="P247" s="310">
        <f t="shared" ca="1" si="105"/>
        <v>8</v>
      </c>
      <c r="Q247" s="304">
        <f t="shared" ca="1" si="106"/>
        <v>2088.9159999999988</v>
      </c>
      <c r="R247" s="306">
        <f t="shared" ca="1" si="107"/>
        <v>1.2562200562283501</v>
      </c>
      <c r="S247" s="307">
        <f t="shared" ca="1" si="108"/>
        <v>20.914859385972619</v>
      </c>
      <c r="T247" s="304">
        <f t="shared" ca="1" si="88"/>
        <v>205.17477057639141</v>
      </c>
      <c r="U247" s="311">
        <f t="shared" ca="1" si="89"/>
        <v>0</v>
      </c>
      <c r="V247" s="306">
        <f t="shared" ca="1" si="90"/>
        <v>1.2016514505221543</v>
      </c>
      <c r="W247" s="304">
        <f t="shared" ca="1" si="91"/>
        <v>216.34919200020627</v>
      </c>
      <c r="Y247" s="314" t="str">
        <f t="shared" ca="1" si="109"/>
        <v/>
      </c>
      <c r="Z247" s="315" t="str">
        <f t="shared" ca="1" si="110"/>
        <v/>
      </c>
      <c r="AA247" s="316" t="str">
        <f t="shared" ca="1" si="111"/>
        <v/>
      </c>
      <c r="AC247" s="310" t="e">
        <f t="shared" ca="1" si="112"/>
        <v>#N/A</v>
      </c>
      <c r="AD247" s="323" t="e">
        <f t="shared" ca="1" si="113"/>
        <v>#N/A</v>
      </c>
      <c r="AE247" s="324">
        <f t="shared" ca="1" si="92"/>
        <v>192.43430673013827</v>
      </c>
      <c r="AG247" s="306">
        <f t="shared" ca="1" si="114"/>
        <v>80.38209222450422</v>
      </c>
      <c r="AH247" s="304">
        <f t="shared" ca="1" si="115"/>
        <v>89.62555952792944</v>
      </c>
    </row>
    <row r="248" spans="1:34" x14ac:dyDescent="0.2">
      <c r="A248" s="347">
        <f t="shared" ca="1" si="93"/>
        <v>0.01</v>
      </c>
      <c r="B248" s="304">
        <f t="shared" ca="1" si="94"/>
        <v>2.439999999999992</v>
      </c>
      <c r="D248" s="306">
        <f t="shared" ca="1" si="95"/>
        <v>30.173649077024049</v>
      </c>
      <c r="E248" s="307">
        <f t="shared" ca="1" si="96"/>
        <v>75.031047219213548</v>
      </c>
      <c r="F248" s="304">
        <f t="shared" ca="1" si="97"/>
        <v>80.870928926501435</v>
      </c>
      <c r="G248" s="306">
        <f t="shared" ca="1" si="98"/>
        <v>59.19069882618421</v>
      </c>
      <c r="H248" s="307">
        <f t="shared" ca="1" si="99"/>
        <v>166.3319151841572</v>
      </c>
      <c r="I248" s="304">
        <f t="shared" ca="1" si="100"/>
        <v>176.54983669310406</v>
      </c>
      <c r="J248" s="306">
        <f t="shared" ca="1" si="101"/>
        <v>64.559773662734784</v>
      </c>
      <c r="K248" s="307">
        <f t="shared" ca="1" si="102"/>
        <v>194.0938743296189</v>
      </c>
      <c r="L248" s="304">
        <f t="shared" ca="1" si="87"/>
        <v>204.54925183843972</v>
      </c>
      <c r="M248" s="306">
        <f t="shared" ca="1" si="103"/>
        <v>1.2289115278477869</v>
      </c>
      <c r="N248" s="304">
        <f t="shared" ca="1" si="104"/>
        <v>70.411443940651921</v>
      </c>
      <c r="P248" s="310">
        <f t="shared" ca="1" si="105"/>
        <v>9</v>
      </c>
      <c r="Q248" s="304">
        <f t="shared" ca="1" si="106"/>
        <v>2098.5319999999929</v>
      </c>
      <c r="R248" s="306">
        <f t="shared" ca="1" si="107"/>
        <v>1.2620028699272658</v>
      </c>
      <c r="S248" s="307">
        <f t="shared" ca="1" si="108"/>
        <v>20.902239357273345</v>
      </c>
      <c r="T248" s="304">
        <f t="shared" ca="1" si="88"/>
        <v>205.05096809485153</v>
      </c>
      <c r="U248" s="311">
        <f t="shared" ca="1" si="89"/>
        <v>0</v>
      </c>
      <c r="V248" s="306">
        <f t="shared" ca="1" si="90"/>
        <v>1.2014520262673412</v>
      </c>
      <c r="W248" s="304">
        <f t="shared" ca="1" si="91"/>
        <v>218.30703572324907</v>
      </c>
      <c r="Y248" s="314" t="str">
        <f t="shared" ca="1" si="109"/>
        <v/>
      </c>
      <c r="Z248" s="315" t="str">
        <f t="shared" ca="1" si="110"/>
        <v/>
      </c>
      <c r="AA248" s="316" t="str">
        <f t="shared" ca="1" si="111"/>
        <v/>
      </c>
      <c r="AC248" s="310" t="e">
        <f t="shared" ca="1" si="112"/>
        <v>#N/A</v>
      </c>
      <c r="AD248" s="323" t="e">
        <f t="shared" ca="1" si="113"/>
        <v>#N/A</v>
      </c>
      <c r="AE248" s="324">
        <f t="shared" ca="1" si="92"/>
        <v>194.0938743296189</v>
      </c>
      <c r="AG248" s="306">
        <f t="shared" ca="1" si="114"/>
        <v>80.804092566968549</v>
      </c>
      <c r="AH248" s="304">
        <f t="shared" ca="1" si="115"/>
        <v>90.046945488873845</v>
      </c>
    </row>
    <row r="249" spans="1:34" x14ac:dyDescent="0.2">
      <c r="A249" s="347">
        <f t="shared" ca="1" si="93"/>
        <v>0.01</v>
      </c>
      <c r="B249" s="304">
        <f t="shared" ca="1" si="94"/>
        <v>2.4499999999999917</v>
      </c>
      <c r="D249" s="306">
        <f t="shared" ca="1" si="95"/>
        <v>30.33067546275495</v>
      </c>
      <c r="E249" s="307">
        <f t="shared" ca="1" si="96"/>
        <v>75.422298969199105</v>
      </c>
      <c r="F249" s="304">
        <f t="shared" ca="1" si="97"/>
        <v>81.292515373964278</v>
      </c>
      <c r="G249" s="306">
        <f t="shared" ca="1" si="98"/>
        <v>59.494005580811759</v>
      </c>
      <c r="H249" s="307">
        <f t="shared" ca="1" si="99"/>
        <v>167.08613817384918</v>
      </c>
      <c r="I249" s="304">
        <f t="shared" ca="1" si="100"/>
        <v>177.36209930506652</v>
      </c>
      <c r="J249" s="306">
        <f t="shared" ca="1" si="101"/>
        <v>65.153197184769766</v>
      </c>
      <c r="K249" s="307">
        <f t="shared" ca="1" si="102"/>
        <v>195.76096459640894</v>
      </c>
      <c r="L249" s="304">
        <f t="shared" ca="1" si="87"/>
        <v>206.31842952851778</v>
      </c>
      <c r="M249" s="306">
        <f t="shared" ca="1" si="103"/>
        <v>1.228726091725707</v>
      </c>
      <c r="N249" s="304">
        <f t="shared" ca="1" si="104"/>
        <v>70.400819233487482</v>
      </c>
      <c r="P249" s="310">
        <f t="shared" ca="1" si="105"/>
        <v>9</v>
      </c>
      <c r="Q249" s="304">
        <f t="shared" ca="1" si="106"/>
        <v>2108.1479999999924</v>
      </c>
      <c r="R249" s="306">
        <f t="shared" ca="1" si="107"/>
        <v>1.2677856836261849</v>
      </c>
      <c r="S249" s="307">
        <f t="shared" ca="1" si="108"/>
        <v>20.889561500437082</v>
      </c>
      <c r="T249" s="304">
        <f t="shared" ca="1" si="88"/>
        <v>204.92659831928779</v>
      </c>
      <c r="U249" s="311">
        <f t="shared" ca="1" si="89"/>
        <v>0</v>
      </c>
      <c r="V249" s="306">
        <f t="shared" ca="1" si="90"/>
        <v>1.2012517310389061</v>
      </c>
      <c r="W249" s="304">
        <f t="shared" ca="1" si="91"/>
        <v>220.28368132927457</v>
      </c>
      <c r="Y249" s="314" t="str">
        <f t="shared" ca="1" si="109"/>
        <v/>
      </c>
      <c r="Z249" s="315" t="str">
        <f t="shared" ca="1" si="110"/>
        <v/>
      </c>
      <c r="AA249" s="316" t="str">
        <f t="shared" ca="1" si="111"/>
        <v/>
      </c>
      <c r="AC249" s="310" t="e">
        <f t="shared" ca="1" si="112"/>
        <v>#N/A</v>
      </c>
      <c r="AD249" s="323" t="e">
        <f t="shared" ca="1" si="113"/>
        <v>#N/A</v>
      </c>
      <c r="AE249" s="324">
        <f t="shared" ca="1" si="92"/>
        <v>195.76096459640894</v>
      </c>
      <c r="AG249" s="306">
        <f t="shared" ca="1" si="114"/>
        <v>81.225956252667359</v>
      </c>
      <c r="AH249" s="304">
        <f t="shared" ca="1" si="115"/>
        <v>90.468196962257977</v>
      </c>
    </row>
    <row r="250" spans="1:34" x14ac:dyDescent="0.2">
      <c r="A250" s="347">
        <f t="shared" ca="1" si="93"/>
        <v>0.01</v>
      </c>
      <c r="B250" s="304">
        <f t="shared" ca="1" si="94"/>
        <v>2.4599999999999915</v>
      </c>
      <c r="D250" s="306">
        <f t="shared" ca="1" si="95"/>
        <v>30.487737852107042</v>
      </c>
      <c r="E250" s="307">
        <f t="shared" ca="1" si="96"/>
        <v>75.813388938670016</v>
      </c>
      <c r="F250" s="304">
        <f t="shared" ca="1" si="97"/>
        <v>81.713965157155684</v>
      </c>
      <c r="G250" s="306">
        <f t="shared" ca="1" si="98"/>
        <v>59.798882959332829</v>
      </c>
      <c r="H250" s="307">
        <f t="shared" ca="1" si="99"/>
        <v>167.84427206323588</v>
      </c>
      <c r="I250" s="304">
        <f t="shared" ca="1" si="100"/>
        <v>178.17857914918261</v>
      </c>
      <c r="J250" s="306">
        <f t="shared" ca="1" si="101"/>
        <v>65.749661627470488</v>
      </c>
      <c r="K250" s="307">
        <f t="shared" ca="1" si="102"/>
        <v>197.43561664759437</v>
      </c>
      <c r="L250" s="304">
        <f t="shared" ca="1" si="87"/>
        <v>208.09574893577886</v>
      </c>
      <c r="M250" s="306">
        <f t="shared" ca="1" si="103"/>
        <v>1.2285414091564444</v>
      </c>
      <c r="N250" s="304">
        <f t="shared" ca="1" si="104"/>
        <v>70.390237701719087</v>
      </c>
      <c r="P250" s="310">
        <f t="shared" ca="1" si="105"/>
        <v>9</v>
      </c>
      <c r="Q250" s="304">
        <f t="shared" ca="1" si="106"/>
        <v>2117.7639999999924</v>
      </c>
      <c r="R250" s="306">
        <f t="shared" ca="1" si="107"/>
        <v>1.2735684973251042</v>
      </c>
      <c r="S250" s="307">
        <f t="shared" ca="1" si="108"/>
        <v>20.876825815463832</v>
      </c>
      <c r="T250" s="304">
        <f t="shared" ca="1" si="88"/>
        <v>204.8016612497002</v>
      </c>
      <c r="U250" s="311">
        <f t="shared" ca="1" si="89"/>
        <v>0</v>
      </c>
      <c r="V250" s="306">
        <f t="shared" ca="1" si="90"/>
        <v>1.2010505605777049</v>
      </c>
      <c r="W250" s="304">
        <f t="shared" ca="1" si="91"/>
        <v>222.27925430597389</v>
      </c>
      <c r="Y250" s="314" t="str">
        <f t="shared" ca="1" si="109"/>
        <v/>
      </c>
      <c r="Z250" s="315" t="str">
        <f t="shared" ca="1" si="110"/>
        <v/>
      </c>
      <c r="AA250" s="316" t="str">
        <f t="shared" ca="1" si="111"/>
        <v/>
      </c>
      <c r="AC250" s="310" t="e">
        <f t="shared" ca="1" si="112"/>
        <v>#N/A</v>
      </c>
      <c r="AD250" s="323" t="e">
        <f t="shared" ca="1" si="113"/>
        <v>#N/A</v>
      </c>
      <c r="AE250" s="324">
        <f t="shared" ca="1" si="92"/>
        <v>197.43561664759437</v>
      </c>
      <c r="AG250" s="306">
        <f t="shared" ca="1" si="114"/>
        <v>81.647680548965511</v>
      </c>
      <c r="AH250" s="304">
        <f t="shared" ca="1" si="115"/>
        <v>90.889311212493851</v>
      </c>
    </row>
    <row r="251" spans="1:34" x14ac:dyDescent="0.2">
      <c r="A251" s="347">
        <f t="shared" ca="1" si="93"/>
        <v>0.01</v>
      </c>
      <c r="B251" s="304">
        <f t="shared" ca="1" si="94"/>
        <v>2.4699999999999913</v>
      </c>
      <c r="D251" s="306">
        <f t="shared" ca="1" si="95"/>
        <v>30.64483452609484</v>
      </c>
      <c r="E251" s="307">
        <f t="shared" ca="1" si="96"/>
        <v>76.204314799637089</v>
      </c>
      <c r="F251" s="304">
        <f t="shared" ca="1" si="97"/>
        <v>82.135275474146439</v>
      </c>
      <c r="G251" s="306">
        <f t="shared" ca="1" si="98"/>
        <v>60.105331304593776</v>
      </c>
      <c r="H251" s="307">
        <f t="shared" ca="1" si="99"/>
        <v>168.60631521123224</v>
      </c>
      <c r="I251" s="304">
        <f t="shared" ca="1" si="100"/>
        <v>178.99927480396221</v>
      </c>
      <c r="J251" s="306">
        <f t="shared" ca="1" si="101"/>
        <v>66.349182698790116</v>
      </c>
      <c r="K251" s="307">
        <f t="shared" ca="1" si="102"/>
        <v>199.11786958396672</v>
      </c>
      <c r="L251" s="304">
        <f t="shared" ca="1" si="87"/>
        <v>209.88125221766478</v>
      </c>
      <c r="M251" s="306">
        <f t="shared" ca="1" si="103"/>
        <v>1.2283574779928172</v>
      </c>
      <c r="N251" s="304">
        <f t="shared" ca="1" si="104"/>
        <v>70.37969922232233</v>
      </c>
      <c r="P251" s="310">
        <f t="shared" ca="1" si="105"/>
        <v>9</v>
      </c>
      <c r="Q251" s="304">
        <f t="shared" ca="1" si="106"/>
        <v>2127.3799999999919</v>
      </c>
      <c r="R251" s="306">
        <f t="shared" ca="1" si="107"/>
        <v>1.2793513110240233</v>
      </c>
      <c r="S251" s="307">
        <f t="shared" ca="1" si="108"/>
        <v>20.864032302353593</v>
      </c>
      <c r="T251" s="304">
        <f t="shared" ca="1" si="88"/>
        <v>204.67615688608876</v>
      </c>
      <c r="U251" s="311">
        <f t="shared" ca="1" si="89"/>
        <v>0</v>
      </c>
      <c r="V251" s="306">
        <f t="shared" ca="1" si="90"/>
        <v>1.2008485106314812</v>
      </c>
      <c r="W251" s="304">
        <f t="shared" ca="1" si="91"/>
        <v>224.29388054756006</v>
      </c>
      <c r="Y251" s="314" t="str">
        <f t="shared" ca="1" si="109"/>
        <v/>
      </c>
      <c r="Z251" s="315" t="str">
        <f t="shared" ca="1" si="110"/>
        <v/>
      </c>
      <c r="AA251" s="316" t="str">
        <f t="shared" ca="1" si="111"/>
        <v/>
      </c>
      <c r="AC251" s="310" t="e">
        <f t="shared" ca="1" si="112"/>
        <v>#N/A</v>
      </c>
      <c r="AD251" s="323" t="e">
        <f t="shared" ca="1" si="113"/>
        <v>#N/A</v>
      </c>
      <c r="AE251" s="324">
        <f t="shared" ca="1" si="92"/>
        <v>199.11786958396672</v>
      </c>
      <c r="AG251" s="306">
        <f t="shared" ca="1" si="114"/>
        <v>82.069262694667245</v>
      </c>
      <c r="AH251" s="304">
        <f t="shared" ca="1" si="115"/>
        <v>91.310285475311062</v>
      </c>
    </row>
    <row r="252" spans="1:34" x14ac:dyDescent="0.2">
      <c r="A252" s="347">
        <f t="shared" ca="1" si="93"/>
        <v>0.01</v>
      </c>
      <c r="B252" s="304">
        <f t="shared" ca="1" si="94"/>
        <v>2.4799999999999911</v>
      </c>
      <c r="D252" s="306">
        <f t="shared" ca="1" si="95"/>
        <v>30.80196376063558</v>
      </c>
      <c r="E252" s="307">
        <f t="shared" ca="1" si="96"/>
        <v>76.595074196034759</v>
      </c>
      <c r="F252" s="304">
        <f t="shared" ca="1" si="97"/>
        <v>82.55644349539034</v>
      </c>
      <c r="G252" s="306">
        <f t="shared" ca="1" si="98"/>
        <v>60.413350942200132</v>
      </c>
      <c r="H252" s="307">
        <f t="shared" ca="1" si="99"/>
        <v>169.3722659531926</v>
      </c>
      <c r="I252" s="304">
        <f t="shared" ca="1" si="100"/>
        <v>179.82418482001924</v>
      </c>
      <c r="J252" s="306">
        <f t="shared" ca="1" si="101"/>
        <v>66.951776110024085</v>
      </c>
      <c r="K252" s="307">
        <f t="shared" ca="1" si="102"/>
        <v>200.80776248978884</v>
      </c>
      <c r="L252" s="304">
        <f t="shared" ca="1" si="87"/>
        <v>211.67498151751954</v>
      </c>
      <c r="M252" s="306">
        <f t="shared" ca="1" si="103"/>
        <v>1.2281742960615416</v>
      </c>
      <c r="N252" s="304">
        <f t="shared" ca="1" si="104"/>
        <v>70.369203670777182</v>
      </c>
      <c r="P252" s="310">
        <f t="shared" ca="1" si="105"/>
        <v>9</v>
      </c>
      <c r="Q252" s="304">
        <f t="shared" ca="1" si="106"/>
        <v>2136.9959999999919</v>
      </c>
      <c r="R252" s="306">
        <f t="shared" ca="1" si="107"/>
        <v>1.2851341247229426</v>
      </c>
      <c r="S252" s="307">
        <f t="shared" ca="1" si="108"/>
        <v>20.851180961106362</v>
      </c>
      <c r="T252" s="304">
        <f t="shared" ca="1" si="88"/>
        <v>204.55008522845341</v>
      </c>
      <c r="U252" s="311">
        <f t="shared" ca="1" si="89"/>
        <v>0</v>
      </c>
      <c r="V252" s="306">
        <f t="shared" ca="1" si="90"/>
        <v>1.2006455769549216</v>
      </c>
      <c r="W252" s="304">
        <f t="shared" ca="1" si="91"/>
        <v>226.327686349456</v>
      </c>
      <c r="Y252" s="314" t="str">
        <f t="shared" ca="1" si="109"/>
        <v/>
      </c>
      <c r="Z252" s="315" t="str">
        <f t="shared" ca="1" si="110"/>
        <v/>
      </c>
      <c r="AA252" s="316" t="str">
        <f t="shared" ca="1" si="111"/>
        <v/>
      </c>
      <c r="AC252" s="310" t="e">
        <f t="shared" ca="1" si="112"/>
        <v>#N/A</v>
      </c>
      <c r="AD252" s="323" t="e">
        <f t="shared" ca="1" si="113"/>
        <v>#N/A</v>
      </c>
      <c r="AE252" s="324">
        <f t="shared" ca="1" si="92"/>
        <v>200.80776248978884</v>
      </c>
      <c r="AG252" s="306">
        <f t="shared" ca="1" si="114"/>
        <v>82.490699900101518</v>
      </c>
      <c r="AH252" s="304">
        <f t="shared" ca="1" si="115"/>
        <v>91.731116957844677</v>
      </c>
    </row>
    <row r="253" spans="1:34" x14ac:dyDescent="0.2">
      <c r="A253" s="347">
        <f t="shared" ca="1" si="93"/>
        <v>0.01</v>
      </c>
      <c r="B253" s="304">
        <f t="shared" ca="1" si="94"/>
        <v>2.4899999999999909</v>
      </c>
      <c r="D253" s="306">
        <f t="shared" ca="1" si="95"/>
        <v>30.959123826555089</v>
      </c>
      <c r="E253" s="307">
        <f t="shared" ca="1" si="96"/>
        <v>76.985664743806183</v>
      </c>
      <c r="F253" s="304">
        <f t="shared" ca="1" si="97"/>
        <v>82.97746636378875</v>
      </c>
      <c r="G253" s="306">
        <f t="shared" ca="1" si="98"/>
        <v>60.722942180465687</v>
      </c>
      <c r="H253" s="307">
        <f t="shared" ca="1" si="99"/>
        <v>170.14212260063067</v>
      </c>
      <c r="I253" s="304">
        <f t="shared" ca="1" si="100"/>
        <v>180.65330771978745</v>
      </c>
      <c r="J253" s="306">
        <f t="shared" ca="1" si="101"/>
        <v>67.557457575637414</v>
      </c>
      <c r="K253" s="307">
        <f t="shared" ca="1" si="102"/>
        <v>202.50533443255796</v>
      </c>
      <c r="L253" s="304">
        <f t="shared" ca="1" si="87"/>
        <v>213.47697896430469</v>
      </c>
      <c r="M253" s="306">
        <f t="shared" ca="1" si="103"/>
        <v>1.2279918611639931</v>
      </c>
      <c r="N253" s="304">
        <f t="shared" ca="1" si="104"/>
        <v>70.358750921111749</v>
      </c>
      <c r="P253" s="310">
        <f t="shared" ca="1" si="105"/>
        <v>9</v>
      </c>
      <c r="Q253" s="304">
        <f t="shared" ca="1" si="106"/>
        <v>2146.6119999999914</v>
      </c>
      <c r="R253" s="306">
        <f t="shared" ca="1" si="107"/>
        <v>1.2909169384218617</v>
      </c>
      <c r="S253" s="307">
        <f t="shared" ca="1" si="108"/>
        <v>20.838271791722143</v>
      </c>
      <c r="T253" s="304">
        <f t="shared" ca="1" si="88"/>
        <v>204.42344627679424</v>
      </c>
      <c r="U253" s="311">
        <f t="shared" ca="1" si="89"/>
        <v>0</v>
      </c>
      <c r="V253" s="306">
        <f t="shared" ca="1" si="90"/>
        <v>1.200441755309716</v>
      </c>
      <c r="W253" s="304">
        <f t="shared" ca="1" si="91"/>
        <v>228.38079840293008</v>
      </c>
      <c r="Y253" s="314" t="str">
        <f t="shared" ca="1" si="109"/>
        <v/>
      </c>
      <c r="Z253" s="315" t="str">
        <f t="shared" ca="1" si="110"/>
        <v/>
      </c>
      <c r="AA253" s="316" t="str">
        <f t="shared" ca="1" si="111"/>
        <v/>
      </c>
      <c r="AC253" s="310" t="e">
        <f t="shared" ca="1" si="112"/>
        <v>#N/A</v>
      </c>
      <c r="AD253" s="323" t="e">
        <f t="shared" ca="1" si="113"/>
        <v>#N/A</v>
      </c>
      <c r="AE253" s="324">
        <f t="shared" ca="1" si="92"/>
        <v>202.50533443255796</v>
      </c>
      <c r="AG253" s="306">
        <f t="shared" ca="1" si="114"/>
        <v>82.911989347208944</v>
      </c>
      <c r="AH253" s="304">
        <f t="shared" ca="1" si="115"/>
        <v>92.151802838724606</v>
      </c>
    </row>
    <row r="254" spans="1:34" x14ac:dyDescent="0.2">
      <c r="A254" s="347">
        <f t="shared" ca="1" si="93"/>
        <v>0.01</v>
      </c>
      <c r="B254" s="304">
        <f t="shared" ca="1" si="94"/>
        <v>2.4999999999999907</v>
      </c>
      <c r="D254" s="306">
        <f t="shared" ca="1" si="95"/>
        <v>31.116312989593798</v>
      </c>
      <c r="E254" s="307">
        <f t="shared" ca="1" si="96"/>
        <v>77.376084030990597</v>
      </c>
      <c r="F254" s="304">
        <f t="shared" ca="1" si="97"/>
        <v>83.398341194758075</v>
      </c>
      <c r="G254" s="306">
        <f t="shared" ca="1" si="98"/>
        <v>61.034105310361625</v>
      </c>
      <c r="H254" s="307">
        <f t="shared" ca="1" si="99"/>
        <v>170.91588344094058</v>
      </c>
      <c r="I254" s="304">
        <f t="shared" ca="1" si="100"/>
        <v>181.48664199723763</v>
      </c>
      <c r="J254" s="306">
        <f t="shared" ca="1" si="101"/>
        <v>68.166242813091557</v>
      </c>
      <c r="K254" s="307">
        <f t="shared" ca="1" si="102"/>
        <v>204.21062446276582</v>
      </c>
      <c r="L254" s="304">
        <f t="shared" ca="1" si="87"/>
        <v>215.28728667231172</v>
      </c>
      <c r="M254" s="306">
        <f t="shared" ca="1" si="103"/>
        <v>1.2278101710769591</v>
      </c>
      <c r="N254" s="304">
        <f t="shared" ca="1" si="104"/>
        <v>70.34834084594533</v>
      </c>
      <c r="P254" s="310">
        <f t="shared" ca="1" si="105"/>
        <v>9</v>
      </c>
      <c r="Q254" s="304">
        <f t="shared" ca="1" si="106"/>
        <v>2156.2279999999914</v>
      </c>
      <c r="R254" s="306">
        <f t="shared" ca="1" si="107"/>
        <v>1.2966997521207813</v>
      </c>
      <c r="S254" s="307">
        <f t="shared" ca="1" si="108"/>
        <v>20.825304794200935</v>
      </c>
      <c r="T254" s="304">
        <f t="shared" ca="1" si="88"/>
        <v>204.29624003111118</v>
      </c>
      <c r="U254" s="311">
        <f t="shared" ca="1" si="89"/>
        <v>0</v>
      </c>
      <c r="V254" s="306">
        <f t="shared" ca="1" si="90"/>
        <v>1.2002370414646142</v>
      </c>
      <c r="W254" s="304">
        <f t="shared" ca="1" si="91"/>
        <v>230.45334378967786</v>
      </c>
      <c r="Y254" s="314" t="str">
        <f t="shared" ca="1" si="109"/>
        <v/>
      </c>
      <c r="Z254" s="315" t="str">
        <f t="shared" ca="1" si="110"/>
        <v/>
      </c>
      <c r="AA254" s="316" t="str">
        <f t="shared" ca="1" si="111"/>
        <v/>
      </c>
      <c r="AC254" s="310" t="e">
        <f t="shared" ca="1" si="112"/>
        <v>#N/A</v>
      </c>
      <c r="AD254" s="323" t="e">
        <f t="shared" ca="1" si="113"/>
        <v>#N/A</v>
      </c>
      <c r="AE254" s="324">
        <f t="shared" ca="1" si="92"/>
        <v>204.21062446276582</v>
      </c>
      <c r="AG254" s="306">
        <f t="shared" ca="1" si="114"/>
        <v>83.33312818963087</v>
      </c>
      <c r="AH254" s="304">
        <f t="shared" ca="1" si="115"/>
        <v>92.572340268167125</v>
      </c>
    </row>
    <row r="255" spans="1:34" x14ac:dyDescent="0.2">
      <c r="A255" s="347">
        <f t="shared" ca="1" si="93"/>
        <v>0.01</v>
      </c>
      <c r="B255" s="304">
        <f t="shared" ca="1" si="94"/>
        <v>2.5099999999999905</v>
      </c>
      <c r="D255" s="306">
        <f t="shared" ca="1" si="95"/>
        <v>31.273529510412562</v>
      </c>
      <c r="E255" s="307">
        <f t="shared" ca="1" si="96"/>
        <v>77.766329617812161</v>
      </c>
      <c r="F255" s="304">
        <f t="shared" ca="1" si="97"/>
        <v>83.81906507629904</v>
      </c>
      <c r="G255" s="306">
        <f t="shared" ca="1" si="98"/>
        <v>61.346840605465751</v>
      </c>
      <c r="H255" s="307">
        <f t="shared" ca="1" si="99"/>
        <v>171.69354673711871</v>
      </c>
      <c r="I255" s="304">
        <f t="shared" ca="1" si="100"/>
        <v>182.32418611759545</v>
      </c>
      <c r="J255" s="306">
        <f t="shared" ca="1" si="101"/>
        <v>68.778147542670695</v>
      </c>
      <c r="K255" s="307">
        <f t="shared" ca="1" si="102"/>
        <v>205.92367161365613</v>
      </c>
      <c r="L255" s="304">
        <f t="shared" ca="1" si="87"/>
        <v>217.10594674087181</v>
      </c>
      <c r="M255" s="306">
        <f t="shared" ca="1" si="103"/>
        <v>1.2276292235533792</v>
      </c>
      <c r="N255" s="304">
        <f t="shared" ca="1" si="104"/>
        <v>70.337973316530864</v>
      </c>
      <c r="P255" s="310">
        <f t="shared" ca="1" si="105"/>
        <v>9</v>
      </c>
      <c r="Q255" s="304">
        <f t="shared" ca="1" si="106"/>
        <v>2165.843999999991</v>
      </c>
      <c r="R255" s="306">
        <f t="shared" ca="1" si="107"/>
        <v>1.3024825658197001</v>
      </c>
      <c r="S255" s="307">
        <f t="shared" ca="1" si="108"/>
        <v>20.81227996854274</v>
      </c>
      <c r="T255" s="304">
        <f t="shared" ca="1" si="88"/>
        <v>204.16846649140427</v>
      </c>
      <c r="U255" s="311">
        <f t="shared" ca="1" si="89"/>
        <v>0</v>
      </c>
      <c r="V255" s="306">
        <f t="shared" ca="1" si="90"/>
        <v>1.2000314311954856</v>
      </c>
      <c r="W255" s="304">
        <f t="shared" ca="1" si="91"/>
        <v>232.54544997635134</v>
      </c>
      <c r="Y255" s="314" t="str">
        <f t="shared" ca="1" si="109"/>
        <v/>
      </c>
      <c r="Z255" s="315" t="str">
        <f t="shared" ca="1" si="110"/>
        <v/>
      </c>
      <c r="AA255" s="316" t="str">
        <f t="shared" ca="1" si="111"/>
        <v/>
      </c>
      <c r="AC255" s="310" t="e">
        <f t="shared" ca="1" si="112"/>
        <v>#N/A</v>
      </c>
      <c r="AD255" s="323" t="e">
        <f t="shared" ca="1" si="113"/>
        <v>#N/A</v>
      </c>
      <c r="AE255" s="324">
        <f t="shared" ca="1" si="92"/>
        <v>205.92367161365613</v>
      </c>
      <c r="AG255" s="306">
        <f t="shared" ca="1" si="114"/>
        <v>83.754113552799822</v>
      </c>
      <c r="AH255" s="304">
        <f t="shared" ca="1" si="115"/>
        <v>92.992726368067778</v>
      </c>
    </row>
    <row r="256" spans="1:34" x14ac:dyDescent="0.2">
      <c r="A256" s="347">
        <f t="shared" ca="1" si="93"/>
        <v>0.01</v>
      </c>
      <c r="B256" s="304">
        <f t="shared" ca="1" si="94"/>
        <v>2.5199999999999902</v>
      </c>
      <c r="D256" s="306">
        <f t="shared" ca="1" si="95"/>
        <v>31.430771644598572</v>
      </c>
      <c r="E256" s="307">
        <f t="shared" ca="1" si="96"/>
        <v>78.156399036771077</v>
      </c>
      <c r="F256" s="304">
        <f t="shared" ca="1" si="97"/>
        <v>84.239635069068839</v>
      </c>
      <c r="G256" s="306">
        <f t="shared" ca="1" si="98"/>
        <v>61.661148321911739</v>
      </c>
      <c r="H256" s="307">
        <f t="shared" ca="1" si="99"/>
        <v>172.47511072748642</v>
      </c>
      <c r="I256" s="304">
        <f t="shared" ca="1" si="100"/>
        <v>183.16593851706025</v>
      </c>
      <c r="J256" s="306">
        <f t="shared" ca="1" si="101"/>
        <v>69.393187487307586</v>
      </c>
      <c r="K256" s="307">
        <f t="shared" ca="1" si="102"/>
        <v>207.64451490097915</v>
      </c>
      <c r="L256" s="304">
        <f t="shared" ca="1" si="87"/>
        <v>218.93300125406304</v>
      </c>
      <c r="M256" s="306">
        <f t="shared" ca="1" si="103"/>
        <v>1.2274490163230749</v>
      </c>
      <c r="N256" s="304">
        <f t="shared" ca="1" si="104"/>
        <v>70.327648202796681</v>
      </c>
      <c r="P256" s="310">
        <f t="shared" ca="1" si="105"/>
        <v>9</v>
      </c>
      <c r="Q256" s="304">
        <f t="shared" ca="1" si="106"/>
        <v>2175.4599999999909</v>
      </c>
      <c r="R256" s="306">
        <f t="shared" ca="1" si="107"/>
        <v>1.3082653795186197</v>
      </c>
      <c r="S256" s="307">
        <f t="shared" ca="1" si="108"/>
        <v>20.799197314747552</v>
      </c>
      <c r="T256" s="304">
        <f t="shared" ca="1" si="88"/>
        <v>204.04012565767349</v>
      </c>
      <c r="U256" s="311">
        <f t="shared" ca="1" si="89"/>
        <v>0</v>
      </c>
      <c r="V256" s="306">
        <f t="shared" ca="1" si="90"/>
        <v>1.199824920285377</v>
      </c>
      <c r="W256" s="304">
        <f t="shared" ca="1" si="91"/>
        <v>234.65724480903444</v>
      </c>
      <c r="Y256" s="314" t="str">
        <f t="shared" ca="1" si="109"/>
        <v/>
      </c>
      <c r="Z256" s="315" t="str">
        <f t="shared" ca="1" si="110"/>
        <v/>
      </c>
      <c r="AA256" s="316" t="str">
        <f t="shared" ca="1" si="111"/>
        <v/>
      </c>
      <c r="AC256" s="310" t="e">
        <f t="shared" ca="1" si="112"/>
        <v>#N/A</v>
      </c>
      <c r="AD256" s="323" t="e">
        <f t="shared" ca="1" si="113"/>
        <v>#N/A</v>
      </c>
      <c r="AE256" s="324">
        <f t="shared" ca="1" si="92"/>
        <v>207.64451490097915</v>
      </c>
      <c r="AG256" s="306">
        <f t="shared" ca="1" si="114"/>
        <v>84.174942534031914</v>
      </c>
      <c r="AH256" s="304">
        <f t="shared" ca="1" si="115"/>
        <v>93.412958232096159</v>
      </c>
    </row>
    <row r="257" spans="1:34" x14ac:dyDescent="0.2">
      <c r="A257" s="347">
        <f t="shared" ca="1" si="93"/>
        <v>0.01</v>
      </c>
      <c r="B257" s="304">
        <f t="shared" ca="1" si="94"/>
        <v>2.52999999999999</v>
      </c>
      <c r="D257" s="306">
        <f t="shared" ca="1" si="95"/>
        <v>31.516268058754097</v>
      </c>
      <c r="E257" s="307">
        <f t="shared" ca="1" si="96"/>
        <v>78.345539932089068</v>
      </c>
      <c r="F257" s="304">
        <f t="shared" ca="1" si="97"/>
        <v>84.447017588555525</v>
      </c>
      <c r="G257" s="306">
        <f t="shared" ca="1" si="98"/>
        <v>61.97631100249928</v>
      </c>
      <c r="H257" s="307">
        <f t="shared" ca="1" si="99"/>
        <v>173.25856612680732</v>
      </c>
      <c r="I257" s="304">
        <f t="shared" ca="1" si="100"/>
        <v>184.00976566963988</v>
      </c>
      <c r="J257" s="306">
        <f t="shared" ca="1" si="101"/>
        <v>70.011374783929639</v>
      </c>
      <c r="K257" s="307">
        <f t="shared" ca="1" si="102"/>
        <v>209.3731832852506</v>
      </c>
      <c r="L257" s="304">
        <f t="shared" ca="1" si="87"/>
        <v>220.76848162302289</v>
      </c>
      <c r="M257" s="306">
        <f t="shared" ca="1" si="103"/>
        <v>1.2272695450141426</v>
      </c>
      <c r="N257" s="304">
        <f t="shared" ca="1" si="104"/>
        <v>70.317365254251172</v>
      </c>
      <c r="P257" s="310">
        <f t="shared" ca="1" si="105"/>
        <v>10</v>
      </c>
      <c r="Q257" s="304">
        <f t="shared" ca="1" si="106"/>
        <v>2180.647045643153</v>
      </c>
      <c r="R257" s="306">
        <f t="shared" ca="1" si="107"/>
        <v>1.311384734614522</v>
      </c>
      <c r="S257" s="307">
        <f t="shared" ca="1" si="108"/>
        <v>20.786083467401408</v>
      </c>
      <c r="T257" s="304">
        <f t="shared" ca="1" si="88"/>
        <v>203.91147881520783</v>
      </c>
      <c r="U257" s="311">
        <f t="shared" ca="1" si="89"/>
        <v>0</v>
      </c>
      <c r="V257" s="306">
        <f t="shared" ca="1" si="90"/>
        <v>1.1996175057288208</v>
      </c>
      <c r="W257" s="304">
        <f t="shared" ca="1" si="91"/>
        <v>236.78336998029746</v>
      </c>
      <c r="Y257" s="314" t="str">
        <f t="shared" ca="1" si="109"/>
        <v/>
      </c>
      <c r="Z257" s="315" t="str">
        <f t="shared" ca="1" si="110"/>
        <v/>
      </c>
      <c r="AA257" s="316" t="str">
        <f t="shared" ca="1" si="111"/>
        <v/>
      </c>
      <c r="AC257" s="310" t="e">
        <f t="shared" ca="1" si="112"/>
        <v>#N/A</v>
      </c>
      <c r="AD257" s="323" t="e">
        <f t="shared" ca="1" si="113"/>
        <v>#N/A</v>
      </c>
      <c r="AE257" s="324">
        <f t="shared" ca="1" si="92"/>
        <v>209.3731832852506</v>
      </c>
      <c r="AG257" s="306">
        <f t="shared" ca="1" si="114"/>
        <v>84.382418910687107</v>
      </c>
      <c r="AH257" s="304">
        <f t="shared" ca="1" si="115"/>
        <v>93.619839633858561</v>
      </c>
    </row>
    <row r="258" spans="1:34" x14ac:dyDescent="0.2">
      <c r="A258" s="347">
        <f t="shared" ca="1" si="93"/>
        <v>0.01</v>
      </c>
      <c r="B258" s="304">
        <f t="shared" ca="1" si="94"/>
        <v>2.5399999999999898</v>
      </c>
      <c r="D258" s="306">
        <f t="shared" ca="1" si="95"/>
        <v>31.529820771869652</v>
      </c>
      <c r="E258" s="307">
        <f t="shared" ca="1" si="96"/>
        <v>78.333541440358843</v>
      </c>
      <c r="F258" s="304">
        <f t="shared" ca="1" si="97"/>
        <v>84.440945710565316</v>
      </c>
      <c r="G258" s="306">
        <f t="shared" ca="1" si="98"/>
        <v>62.291609210217977</v>
      </c>
      <c r="H258" s="307">
        <f t="shared" ca="1" si="99"/>
        <v>174.0419015412109</v>
      </c>
      <c r="I258" s="304">
        <f t="shared" ca="1" si="100"/>
        <v>184.85353139737165</v>
      </c>
      <c r="J258" s="306">
        <f t="shared" ca="1" si="101"/>
        <v>70.632714384993221</v>
      </c>
      <c r="K258" s="307">
        <f t="shared" ca="1" si="102"/>
        <v>211.10968562359071</v>
      </c>
      <c r="L258" s="304">
        <f t="shared" ca="1" si="87"/>
        <v>222.61239791503826</v>
      </c>
      <c r="M258" s="306">
        <f t="shared" ca="1" si="103"/>
        <v>1.2270908032219903</v>
      </c>
      <c r="N258" s="304">
        <f t="shared" ca="1" si="104"/>
        <v>70.307124103938236</v>
      </c>
      <c r="P258" s="310">
        <f t="shared" ca="1" si="105"/>
        <v>10</v>
      </c>
      <c r="Q258" s="304">
        <f t="shared" ca="1" si="106"/>
        <v>2181.4051369294598</v>
      </c>
      <c r="R258" s="306">
        <f t="shared" ca="1" si="107"/>
        <v>1.3118406311073969</v>
      </c>
      <c r="S258" s="307">
        <f t="shared" ca="1" si="108"/>
        <v>20.772965061090336</v>
      </c>
      <c r="T258" s="304">
        <f t="shared" ca="1" si="88"/>
        <v>203.78278724929621</v>
      </c>
      <c r="U258" s="311">
        <f t="shared" ca="1" si="89"/>
        <v>0</v>
      </c>
      <c r="V258" s="306">
        <f t="shared" ca="1" si="90"/>
        <v>1.1994091869361485</v>
      </c>
      <c r="W258" s="304">
        <f t="shared" ca="1" si="91"/>
        <v>238.91836407149515</v>
      </c>
      <c r="Y258" s="314" t="str">
        <f t="shared" ca="1" si="109"/>
        <v/>
      </c>
      <c r="Z258" s="315" t="str">
        <f t="shared" ca="1" si="110"/>
        <v/>
      </c>
      <c r="AA258" s="316" t="str">
        <f t="shared" ca="1" si="111"/>
        <v/>
      </c>
      <c r="AC258" s="310" t="e">
        <f t="shared" ca="1" si="112"/>
        <v>#N/A</v>
      </c>
      <c r="AD258" s="323" t="e">
        <f t="shared" ca="1" si="113"/>
        <v>#N/A</v>
      </c>
      <c r="AE258" s="324">
        <f t="shared" ca="1" si="92"/>
        <v>211.10968562359071</v>
      </c>
      <c r="AG258" s="306">
        <f t="shared" ca="1" si="114"/>
        <v>84.376277482339859</v>
      </c>
      <c r="AH258" s="304">
        <f t="shared" ca="1" si="115"/>
        <v>93.613105362200642</v>
      </c>
    </row>
    <row r="259" spans="1:34" x14ac:dyDescent="0.2">
      <c r="A259" s="347">
        <f t="shared" ca="1" si="93"/>
        <v>0.01</v>
      </c>
      <c r="B259" s="304">
        <f t="shared" ca="1" si="94"/>
        <v>2.5499999999999896</v>
      </c>
      <c r="D259" s="306">
        <f t="shared" ca="1" si="95"/>
        <v>31.543165996840642</v>
      </c>
      <c r="E259" s="307">
        <f t="shared" ca="1" si="96"/>
        <v>78.321173047616284</v>
      </c>
      <c r="F259" s="304">
        <f t="shared" ca="1" si="97"/>
        <v>84.434456643356796</v>
      </c>
      <c r="G259" s="306">
        <f t="shared" ca="1" si="98"/>
        <v>62.607040870186381</v>
      </c>
      <c r="H259" s="307">
        <f t="shared" ca="1" si="99"/>
        <v>174.82511327168706</v>
      </c>
      <c r="I259" s="304">
        <f t="shared" ca="1" si="100"/>
        <v>185.69723152750393</v>
      </c>
      <c r="J259" s="306">
        <f t="shared" ca="1" si="101"/>
        <v>71.257207635395247</v>
      </c>
      <c r="K259" s="307">
        <f t="shared" ca="1" si="102"/>
        <v>212.85402069765519</v>
      </c>
      <c r="L259" s="304">
        <f t="shared" ca="1" si="87"/>
        <v>224.46474949789254</v>
      </c>
      <c r="M259" s="306">
        <f t="shared" ca="1" si="103"/>
        <v>1.2269127846227996</v>
      </c>
      <c r="N259" s="304">
        <f t="shared" ca="1" si="104"/>
        <v>70.296924389529792</v>
      </c>
      <c r="P259" s="310">
        <f t="shared" ca="1" si="105"/>
        <v>10</v>
      </c>
      <c r="Q259" s="304">
        <f t="shared" ca="1" si="106"/>
        <v>2182.163228215767</v>
      </c>
      <c r="R259" s="306">
        <f t="shared" ca="1" si="107"/>
        <v>1.3122965276002723</v>
      </c>
      <c r="S259" s="307">
        <f t="shared" ca="1" si="108"/>
        <v>20.759842095814331</v>
      </c>
      <c r="T259" s="304">
        <f t="shared" ca="1" si="88"/>
        <v>203.65405095993862</v>
      </c>
      <c r="U259" s="311">
        <f t="shared" ca="1" si="89"/>
        <v>0</v>
      </c>
      <c r="V259" s="306">
        <f t="shared" ca="1" si="90"/>
        <v>1.1991999645287474</v>
      </c>
      <c r="W259" s="304">
        <f t="shared" ca="1" si="91"/>
        <v>241.06220417282375</v>
      </c>
      <c r="Y259" s="314" t="str">
        <f t="shared" ca="1" si="109"/>
        <v/>
      </c>
      <c r="Z259" s="315" t="str">
        <f t="shared" ca="1" si="110"/>
        <v/>
      </c>
      <c r="AA259" s="316" t="str">
        <f t="shared" ca="1" si="111"/>
        <v/>
      </c>
      <c r="AC259" s="310" t="e">
        <f t="shared" ca="1" si="112"/>
        <v>#N/A</v>
      </c>
      <c r="AD259" s="323" t="e">
        <f t="shared" ca="1" si="113"/>
        <v>#N/A</v>
      </c>
      <c r="AE259" s="324">
        <f t="shared" ca="1" si="92"/>
        <v>212.85402069765519</v>
      </c>
      <c r="AG259" s="306">
        <f t="shared" ca="1" si="114"/>
        <v>84.369718770194737</v>
      </c>
      <c r="AH259" s="304">
        <f t="shared" ca="1" si="115"/>
        <v>93.605955920834077</v>
      </c>
    </row>
    <row r="260" spans="1:34" x14ac:dyDescent="0.2">
      <c r="A260" s="347">
        <f t="shared" ca="1" si="93"/>
        <v>0.01</v>
      </c>
      <c r="B260" s="304">
        <f t="shared" ca="1" si="94"/>
        <v>2.5599999999999894</v>
      </c>
      <c r="D260" s="306">
        <f t="shared" ca="1" si="95"/>
        <v>31.556304213194267</v>
      </c>
      <c r="E260" s="307">
        <f t="shared" ca="1" si="96"/>
        <v>78.308434952811041</v>
      </c>
      <c r="F260" s="304">
        <f t="shared" ca="1" si="97"/>
        <v>84.427550718674183</v>
      </c>
      <c r="G260" s="306">
        <f t="shared" ca="1" si="98"/>
        <v>62.922603912318323</v>
      </c>
      <c r="H260" s="307">
        <f t="shared" ca="1" si="99"/>
        <v>175.60819762121517</v>
      </c>
      <c r="I260" s="304">
        <f t="shared" ca="1" si="100"/>
        <v>186.54086189057415</v>
      </c>
      <c r="J260" s="306">
        <f t="shared" ca="1" si="101"/>
        <v>71.884855859307777</v>
      </c>
      <c r="K260" s="307">
        <f t="shared" ca="1" si="102"/>
        <v>214.6061872521197</v>
      </c>
      <c r="L260" s="304">
        <f t="shared" ref="L260:L323" ca="1" si="116">SQRT(pos_x^2+pos_z^2)</f>
        <v>226.32553569759935</v>
      </c>
      <c r="M260" s="306">
        <f t="shared" ca="1" si="103"/>
        <v>1.2267354829721604</v>
      </c>
      <c r="N260" s="304">
        <f t="shared" ca="1" si="104"/>
        <v>70.286765753247451</v>
      </c>
      <c r="P260" s="310">
        <f t="shared" ca="1" si="105"/>
        <v>10</v>
      </c>
      <c r="Q260" s="304">
        <f t="shared" ca="1" si="106"/>
        <v>2182.9213195020739</v>
      </c>
      <c r="R260" s="306">
        <f t="shared" ca="1" si="107"/>
        <v>1.3127524240931474</v>
      </c>
      <c r="S260" s="307">
        <f t="shared" ca="1" si="108"/>
        <v>20.746714571573399</v>
      </c>
      <c r="T260" s="304">
        <f t="shared" ref="T260:T323" ca="1" si="117">m*g</f>
        <v>203.52526994713506</v>
      </c>
      <c r="U260" s="311">
        <f t="shared" ref="U260:U323" ca="1" si="118">IF(pos_xz&lt;L_rampe,Poids*COS(Beta),0)</f>
        <v>0</v>
      </c>
      <c r="V260" s="306">
        <f t="shared" ref="V260:V323" ca="1" si="119">Rho_moyen*(20000-Alt_rampe-pos_z)/(20000+Alt_rampe+pos_z)</f>
        <v>1.1989898391342757</v>
      </c>
      <c r="W260" s="304">
        <f t="shared" ref="W260:W323" ca="1" si="120">1/2*Rho*Sref*Cx*vit_xz^2</f>
        <v>243.21486715699376</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214.6061872521197</v>
      </c>
      <c r="AG260" s="306">
        <f t="shared" ca="1" si="114"/>
        <v>84.362743103258978</v>
      </c>
      <c r="AH260" s="304">
        <f t="shared" ca="1" si="115"/>
        <v>93.598391621482762</v>
      </c>
    </row>
    <row r="261" spans="1:34" x14ac:dyDescent="0.2">
      <c r="A261" s="347">
        <f t="shared" ref="A261:A324" ca="1" si="122">IF(B260+0.01&lt;=T_ini+ROUNDUP(Temps_fin_propu,0), 0.01, IF(K260&gt;0, 0.1, 0.0001))</f>
        <v>0.01</v>
      </c>
      <c r="B261" s="304">
        <f t="shared" ref="B261:B324" ca="1" si="123">B260+pas</f>
        <v>2.5699999999999892</v>
      </c>
      <c r="D261" s="306">
        <f t="shared" ref="D261:D324" ca="1" si="124">IF(AND(L260&lt;L_rampe,Poussee&lt;Poids*SIN(M260)),0,(-W260+Poussee)/m*COS(M260)-U260/m*SIN(M260))</f>
        <v>31.569235898653883</v>
      </c>
      <c r="E261" s="307">
        <f t="shared" ref="E261:E324" ca="1" si="125">IF(AND(L260&lt;L_rampe,Poussee&lt;Poids*SIN(M260)),0,(-W260+Poussee)/m*SIN(M260)+U260/m*COS(M260)-Poids/m)</f>
        <v>78.295327366407065</v>
      </c>
      <c r="F261" s="304">
        <f t="shared" ref="F261:F324" ca="1" si="126">SQRT(acc_x^2+acc_z^2)</f>
        <v>84.420228278758572</v>
      </c>
      <c r="G261" s="306">
        <f t="shared" ref="G261:G324" ca="1" si="127">G260+acc_x*pas</f>
        <v>63.238296271304861</v>
      </c>
      <c r="H261" s="307">
        <f t="shared" ref="H261:H324" ca="1" si="128">H260+acc_z*pas</f>
        <v>176.39115089487925</v>
      </c>
      <c r="I261" s="304">
        <f t="shared" ref="I261:I324" ca="1" si="129">SQRT(vit_x^2+vit_z^2)</f>
        <v>187.38441832051402</v>
      </c>
      <c r="J261" s="306">
        <f t="shared" ref="J261:J324" ca="1" si="130">J260+0.5*(vit_x+G260)*pas*(K260&gt;=0)</f>
        <v>72.515660360225894</v>
      </c>
      <c r="K261" s="307">
        <f t="shared" ref="K261:K324" ca="1" si="131">K260+0.5*(vit_z+H260)*pas</f>
        <v>216.36618399470018</v>
      </c>
      <c r="L261" s="304">
        <f t="shared" ca="1" si="116"/>
        <v>228.19475579843655</v>
      </c>
      <c r="M261" s="306">
        <f t="shared" ref="M261:M324" ca="1" si="132">IF(AND(L260&gt;L_rampe,G261&gt;0),ATAN2(G261,H261),$M$4)</f>
        <v>1.2265588921037334</v>
      </c>
      <c r="N261" s="304">
        <f t="shared" ref="N261:N324" ca="1" si="133">DEGREES(Beta)</f>
        <v>70.276647841786044</v>
      </c>
      <c r="P261" s="310">
        <f t="shared" ref="P261:P324" ca="1" si="134">MATCH(t-pas/2-T_ini,CdP_t)</f>
        <v>10</v>
      </c>
      <c r="Q261" s="304">
        <f t="shared" ref="Q261:Q324" ca="1" si="135">(INDEX(CdP,2,i_P+1)-INDEX(CdP,2,i_P+0))/(INDEX(CdP,1,i_P+1)-INDEX(CdP,1,i_P+0))*(t-pas/2-T_ini-INDEX(CdP,1,i_P+0))+INDEX(CdP,2,i_P+0)</f>
        <v>2183.6794107883811</v>
      </c>
      <c r="R261" s="306">
        <f t="shared" ref="R261:R324" ca="1" si="136">Poussee/(g*ISP)</f>
        <v>1.3132083205860228</v>
      </c>
      <c r="S261" s="307">
        <f t="shared" ref="S261:S324" ca="1" si="137">S260-Débit*pas</f>
        <v>20.733582488367539</v>
      </c>
      <c r="T261" s="304">
        <f t="shared" ca="1" si="117"/>
        <v>203.39644421088556</v>
      </c>
      <c r="U261" s="311">
        <f t="shared" ca="1" si="118"/>
        <v>0</v>
      </c>
      <c r="V261" s="306">
        <f t="shared" ca="1" si="119"/>
        <v>1.1987788113866529</v>
      </c>
      <c r="W261" s="304">
        <f t="shared" ca="1" si="120"/>
        <v>245.37632968010789</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216.36618399470018</v>
      </c>
      <c r="AG261" s="306">
        <f t="shared" ref="AG261:AG324" ca="1" si="143">IF(AND(L260&lt;L_rampe,Poussee&lt;Poids*SIN(M260)),0,(-W260+Poussee)/m-Poids*SIN(M260)/m)</f>
        <v>84.355350821065386</v>
      </c>
      <c r="AH261" s="304">
        <f t="shared" ref="AH261:AH324" ca="1" si="144">IF(AND(L260&lt;L_rampe,Poussee&lt;Poids*SIN(M260)), g*SIN(M260), (-W260+Poussee)/m)</f>
        <v>93.590412786602329</v>
      </c>
    </row>
    <row r="262" spans="1:34" x14ac:dyDescent="0.2">
      <c r="A262" s="347">
        <f t="shared" ca="1" si="122"/>
        <v>0.01</v>
      </c>
      <c r="B262" s="304">
        <f t="shared" ca="1" si="123"/>
        <v>2.579999999999989</v>
      </c>
      <c r="D262" s="306">
        <f t="shared" ca="1" si="124"/>
        <v>31.581961529242182</v>
      </c>
      <c r="E262" s="307">
        <f t="shared" ca="1" si="125"/>
        <v>78.281850510347113</v>
      </c>
      <c r="F262" s="304">
        <f t="shared" ca="1" si="126"/>
        <v>84.412489676343895</v>
      </c>
      <c r="G262" s="306">
        <f t="shared" ca="1" si="127"/>
        <v>63.55411588659728</v>
      </c>
      <c r="H262" s="307">
        <f t="shared" ca="1" si="128"/>
        <v>177.17396939998272</v>
      </c>
      <c r="I262" s="304">
        <f t="shared" ca="1" si="129"/>
        <v>188.2278966547548</v>
      </c>
      <c r="J262" s="306">
        <f t="shared" ca="1" si="130"/>
        <v>73.149622421015408</v>
      </c>
      <c r="K262" s="307">
        <f t="shared" ca="1" si="131"/>
        <v>218.13400959617448</v>
      </c>
      <c r="L262" s="304">
        <f t="shared" ca="1" si="116"/>
        <v>230.07240904298163</v>
      </c>
      <c r="M262" s="306">
        <f t="shared" ca="1" si="132"/>
        <v>1.2263830059279428</v>
      </c>
      <c r="N262" s="304">
        <f t="shared" ca="1" si="133"/>
        <v>70.266570306238549</v>
      </c>
      <c r="P262" s="310">
        <f t="shared" ca="1" si="134"/>
        <v>10</v>
      </c>
      <c r="Q262" s="304">
        <f t="shared" ca="1" si="135"/>
        <v>2184.4375020746879</v>
      </c>
      <c r="R262" s="306">
        <f t="shared" ca="1" si="136"/>
        <v>1.3136642170788977</v>
      </c>
      <c r="S262" s="307">
        <f t="shared" ca="1" si="137"/>
        <v>20.72044584619675</v>
      </c>
      <c r="T262" s="304">
        <f t="shared" ca="1" si="117"/>
        <v>203.26757375119013</v>
      </c>
      <c r="U262" s="311">
        <f t="shared" ca="1" si="118"/>
        <v>0</v>
      </c>
      <c r="V262" s="306">
        <f t="shared" ca="1" si="119"/>
        <v>1.1985668819260487</v>
      </c>
      <c r="W262" s="304">
        <f t="shared" ca="1" si="120"/>
        <v>247.54656818255228</v>
      </c>
      <c r="Y262" s="314" t="str">
        <f t="shared" ca="1" si="138"/>
        <v/>
      </c>
      <c r="Z262" s="315" t="str">
        <f t="shared" ca="1" si="139"/>
        <v/>
      </c>
      <c r="AA262" s="316" t="str">
        <f t="shared" ca="1" si="140"/>
        <v/>
      </c>
      <c r="AC262" s="310" t="e">
        <f t="shared" ca="1" si="141"/>
        <v>#N/A</v>
      </c>
      <c r="AD262" s="323" t="e">
        <f t="shared" ca="1" si="142"/>
        <v>#N/A</v>
      </c>
      <c r="AE262" s="324">
        <f t="shared" ca="1" si="121"/>
        <v>218.13400959617448</v>
      </c>
      <c r="AG262" s="306">
        <f t="shared" ca="1" si="143"/>
        <v>84.347542273667699</v>
      </c>
      <c r="AH262" s="304">
        <f t="shared" ca="1" si="144"/>
        <v>93.582019749372137</v>
      </c>
    </row>
    <row r="263" spans="1:34" x14ac:dyDescent="0.2">
      <c r="A263" s="347">
        <f t="shared" ca="1" si="122"/>
        <v>0.01</v>
      </c>
      <c r="B263" s="304">
        <f t="shared" ca="1" si="123"/>
        <v>2.5899999999999888</v>
      </c>
      <c r="D263" s="306">
        <f t="shared" ca="1" si="124"/>
        <v>31.594481579382027</v>
      </c>
      <c r="E263" s="307">
        <f t="shared" ca="1" si="125"/>
        <v>78.268004618017741</v>
      </c>
      <c r="F263" s="304">
        <f t="shared" ca="1" si="126"/>
        <v>84.404335274652553</v>
      </c>
      <c r="G263" s="306">
        <f t="shared" ca="1" si="127"/>
        <v>63.8700607023911</v>
      </c>
      <c r="H263" s="307">
        <f t="shared" ca="1" si="128"/>
        <v>177.95664944616291</v>
      </c>
      <c r="I263" s="304">
        <f t="shared" ca="1" si="129"/>
        <v>189.07129273433247</v>
      </c>
      <c r="J263" s="306">
        <f t="shared" ca="1" si="130"/>
        <v>73.78674330396035</v>
      </c>
      <c r="K263" s="307">
        <f t="shared" ca="1" si="131"/>
        <v>219.90966269040521</v>
      </c>
      <c r="L263" s="304">
        <f t="shared" ca="1" si="116"/>
        <v>231.95849463214822</v>
      </c>
      <c r="M263" s="306">
        <f t="shared" ca="1" si="132"/>
        <v>1.226207818430695</v>
      </c>
      <c r="N263" s="304">
        <f t="shared" ca="1" si="133"/>
        <v>70.256532802022789</v>
      </c>
      <c r="P263" s="310">
        <f t="shared" ca="1" si="134"/>
        <v>10</v>
      </c>
      <c r="Q263" s="304">
        <f t="shared" ca="1" si="135"/>
        <v>2185.1955933609952</v>
      </c>
      <c r="R263" s="306">
        <f t="shared" ca="1" si="136"/>
        <v>1.3141201135717731</v>
      </c>
      <c r="S263" s="307">
        <f t="shared" ca="1" si="137"/>
        <v>20.707304645061033</v>
      </c>
      <c r="T263" s="304">
        <f t="shared" ca="1" si="117"/>
        <v>203.13865856804875</v>
      </c>
      <c r="U263" s="311">
        <f t="shared" ca="1" si="118"/>
        <v>0</v>
      </c>
      <c r="V263" s="306">
        <f t="shared" ca="1" si="119"/>
        <v>1.1983540513988722</v>
      </c>
      <c r="W263" s="304">
        <f t="shared" ca="1" si="120"/>
        <v>249.72555888989828</v>
      </c>
      <c r="Y263" s="314" t="str">
        <f t="shared" ca="1" si="138"/>
        <v/>
      </c>
      <c r="Z263" s="315" t="str">
        <f t="shared" ca="1" si="139"/>
        <v/>
      </c>
      <c r="AA263" s="316" t="str">
        <f t="shared" ca="1" si="140"/>
        <v/>
      </c>
      <c r="AC263" s="310" t="e">
        <f t="shared" ca="1" si="141"/>
        <v>#N/A</v>
      </c>
      <c r="AD263" s="323" t="e">
        <f t="shared" ca="1" si="142"/>
        <v>#N/A</v>
      </c>
      <c r="AE263" s="324">
        <f t="shared" ca="1" si="121"/>
        <v>219.90966269040521</v>
      </c>
      <c r="AG263" s="306">
        <f t="shared" ca="1" si="143"/>
        <v>84.339317821635831</v>
      </c>
      <c r="AH263" s="304">
        <f t="shared" ca="1" si="144"/>
        <v>93.573212853687266</v>
      </c>
    </row>
    <row r="264" spans="1:34" x14ac:dyDescent="0.2">
      <c r="A264" s="347">
        <f t="shared" ca="1" si="122"/>
        <v>0.01</v>
      </c>
      <c r="B264" s="304">
        <f t="shared" ca="1" si="123"/>
        <v>2.5999999999999885</v>
      </c>
      <c r="D264" s="306">
        <f t="shared" ca="1" si="124"/>
        <v>31.606796521994941</v>
      </c>
      <c r="E264" s="307">
        <f t="shared" ca="1" si="125"/>
        <v>78.253789934213856</v>
      </c>
      <c r="F264" s="304">
        <f t="shared" ca="1" si="126"/>
        <v>84.395765447389962</v>
      </c>
      <c r="G264" s="306">
        <f t="shared" ca="1" si="127"/>
        <v>64.186128667611044</v>
      </c>
      <c r="H264" s="307">
        <f t="shared" ca="1" si="128"/>
        <v>178.73918734550506</v>
      </c>
      <c r="I264" s="304">
        <f t="shared" ca="1" si="129"/>
        <v>189.9146024039928</v>
      </c>
      <c r="J264" s="306">
        <f t="shared" ca="1" si="130"/>
        <v>74.427024250810362</v>
      </c>
      <c r="K264" s="307">
        <f t="shared" ca="1" si="131"/>
        <v>221.69314187436356</v>
      </c>
      <c r="L264" s="304">
        <f t="shared" ca="1" si="116"/>
        <v>233.85301172522327</v>
      </c>
      <c r="M264" s="306">
        <f t="shared" ca="1" si="132"/>
        <v>1.2260333236721241</v>
      </c>
      <c r="N264" s="304">
        <f t="shared" ca="1" si="133"/>
        <v>70.246534988809515</v>
      </c>
      <c r="P264" s="310">
        <f t="shared" ca="1" si="134"/>
        <v>10</v>
      </c>
      <c r="Q264" s="304">
        <f t="shared" ca="1" si="135"/>
        <v>2185.953684647302</v>
      </c>
      <c r="R264" s="306">
        <f t="shared" ca="1" si="136"/>
        <v>1.314576010064648</v>
      </c>
      <c r="S264" s="307">
        <f t="shared" ca="1" si="137"/>
        <v>20.694158884960387</v>
      </c>
      <c r="T264" s="304">
        <f t="shared" ca="1" si="117"/>
        <v>203.00969866146141</v>
      </c>
      <c r="U264" s="311">
        <f t="shared" ca="1" si="118"/>
        <v>0</v>
      </c>
      <c r="V264" s="306">
        <f t="shared" ca="1" si="119"/>
        <v>1.1981403204577634</v>
      </c>
      <c r="W264" s="304">
        <f t="shared" ca="1" si="120"/>
        <v>251.91327781381699</v>
      </c>
      <c r="Y264" s="314" t="str">
        <f t="shared" ca="1" si="138"/>
        <v/>
      </c>
      <c r="Z264" s="315" t="str">
        <f t="shared" ca="1" si="139"/>
        <v/>
      </c>
      <c r="AA264" s="316" t="str">
        <f t="shared" ca="1" si="140"/>
        <v/>
      </c>
      <c r="AC264" s="310" t="e">
        <f t="shared" ca="1" si="141"/>
        <v>#N/A</v>
      </c>
      <c r="AD264" s="323" t="e">
        <f t="shared" ca="1" si="142"/>
        <v>#N/A</v>
      </c>
      <c r="AE264" s="324">
        <f t="shared" ca="1" si="121"/>
        <v>221.69314187436356</v>
      </c>
      <c r="AG264" s="306">
        <f t="shared" ca="1" si="143"/>
        <v>84.330677836050086</v>
      </c>
      <c r="AH264" s="304">
        <f t="shared" ca="1" si="144"/>
        <v>93.563992454149457</v>
      </c>
    </row>
    <row r="265" spans="1:34" x14ac:dyDescent="0.2">
      <c r="A265" s="347">
        <f t="shared" ca="1" si="122"/>
        <v>0.01</v>
      </c>
      <c r="B265" s="304">
        <f t="shared" ca="1" si="123"/>
        <v>2.6099999999999883</v>
      </c>
      <c r="D265" s="306">
        <f t="shared" ca="1" si="124"/>
        <v>31.618906828597364</v>
      </c>
      <c r="E265" s="307">
        <f t="shared" ca="1" si="125"/>
        <v>78.239206715103748</v>
      </c>
      <c r="F265" s="304">
        <f t="shared" ca="1" si="126"/>
        <v>84.386780578739078</v>
      </c>
      <c r="G265" s="306">
        <f t="shared" ca="1" si="127"/>
        <v>64.502317735897023</v>
      </c>
      <c r="H265" s="307">
        <f t="shared" ca="1" si="128"/>
        <v>179.52157941265611</v>
      </c>
      <c r="I265" s="304">
        <f t="shared" ca="1" si="129"/>
        <v>190.7578215122966</v>
      </c>
      <c r="J265" s="306">
        <f t="shared" ca="1" si="130"/>
        <v>75.070466482827896</v>
      </c>
      <c r="K265" s="307">
        <f t="shared" ca="1" si="131"/>
        <v>223.48444570815437</v>
      </c>
      <c r="L265" s="304">
        <f t="shared" ca="1" si="116"/>
        <v>235.75595943990552</v>
      </c>
      <c r="M265" s="306">
        <f t="shared" ca="1" si="132"/>
        <v>1.2258595157853656</v>
      </c>
      <c r="N265" s="304">
        <f t="shared" ca="1" si="133"/>
        <v>70.236576530452169</v>
      </c>
      <c r="P265" s="310">
        <f t="shared" ca="1" si="134"/>
        <v>10</v>
      </c>
      <c r="Q265" s="304">
        <f t="shared" ca="1" si="135"/>
        <v>2186.7117759336093</v>
      </c>
      <c r="R265" s="306">
        <f t="shared" ca="1" si="136"/>
        <v>1.3150319065575233</v>
      </c>
      <c r="S265" s="307">
        <f t="shared" ca="1" si="137"/>
        <v>20.681008565894814</v>
      </c>
      <c r="T265" s="304">
        <f t="shared" ca="1" si="117"/>
        <v>202.88069403142813</v>
      </c>
      <c r="U265" s="311">
        <f t="shared" ca="1" si="118"/>
        <v>0</v>
      </c>
      <c r="V265" s="306">
        <f t="shared" ca="1" si="119"/>
        <v>1.1979256897615795</v>
      </c>
      <c r="W265" s="304">
        <f t="shared" ca="1" si="120"/>
        <v>254.10970075300429</v>
      </c>
      <c r="Y265" s="314" t="str">
        <f t="shared" ca="1" si="138"/>
        <v/>
      </c>
      <c r="Z265" s="315" t="str">
        <f t="shared" ca="1" si="139"/>
        <v/>
      </c>
      <c r="AA265" s="316" t="str">
        <f t="shared" ca="1" si="140"/>
        <v/>
      </c>
      <c r="AC265" s="310" t="e">
        <f t="shared" ca="1" si="141"/>
        <v>#N/A</v>
      </c>
      <c r="AD265" s="323" t="e">
        <f t="shared" ca="1" si="142"/>
        <v>#N/A</v>
      </c>
      <c r="AE265" s="324">
        <f t="shared" ca="1" si="121"/>
        <v>223.48444570815437</v>
      </c>
      <c r="AG265" s="306">
        <f t="shared" ca="1" si="143"/>
        <v>84.321622698495034</v>
      </c>
      <c r="AH265" s="304">
        <f t="shared" ca="1" si="144"/>
        <v>93.55435891605795</v>
      </c>
    </row>
    <row r="266" spans="1:34" x14ac:dyDescent="0.2">
      <c r="A266" s="347">
        <f t="shared" ca="1" si="122"/>
        <v>0.01</v>
      </c>
      <c r="B266" s="304">
        <f t="shared" ca="1" si="123"/>
        <v>2.6199999999999881</v>
      </c>
      <c r="D266" s="306">
        <f t="shared" ca="1" si="124"/>
        <v>31.630812969394352</v>
      </c>
      <c r="E266" s="307">
        <f t="shared" ca="1" si="125"/>
        <v>78.224255228193655</v>
      </c>
      <c r="F266" s="304">
        <f t="shared" ca="1" si="126"/>
        <v>84.377381063353639</v>
      </c>
      <c r="G266" s="306">
        <f t="shared" ca="1" si="127"/>
        <v>64.81862586559096</v>
      </c>
      <c r="H266" s="307">
        <f t="shared" ca="1" si="128"/>
        <v>180.30382196493804</v>
      </c>
      <c r="I266" s="304">
        <f t="shared" ca="1" si="129"/>
        <v>191.60094591172438</v>
      </c>
      <c r="J266" s="306">
        <f t="shared" ca="1" si="130"/>
        <v>75.717071200835335</v>
      </c>
      <c r="K266" s="307">
        <f t="shared" ca="1" si="131"/>
        <v>225.28357271504234</v>
      </c>
      <c r="L266" s="304">
        <f t="shared" ca="1" si="116"/>
        <v>237.66733685234522</v>
      </c>
      <c r="M266" s="306">
        <f t="shared" ca="1" si="132"/>
        <v>1.2256863889753515</v>
      </c>
      <c r="N266" s="304">
        <f t="shared" ca="1" si="133"/>
        <v>70.226657094917798</v>
      </c>
      <c r="P266" s="310">
        <f t="shared" ca="1" si="134"/>
        <v>10</v>
      </c>
      <c r="Q266" s="304">
        <f t="shared" ca="1" si="135"/>
        <v>2187.4698672199161</v>
      </c>
      <c r="R266" s="306">
        <f t="shared" ca="1" si="136"/>
        <v>1.3154878030503985</v>
      </c>
      <c r="S266" s="307">
        <f t="shared" ca="1" si="137"/>
        <v>20.667853687864309</v>
      </c>
      <c r="T266" s="304">
        <f t="shared" ca="1" si="117"/>
        <v>202.75164467794889</v>
      </c>
      <c r="U266" s="311">
        <f t="shared" ca="1" si="118"/>
        <v>0</v>
      </c>
      <c r="V266" s="306">
        <f t="shared" ca="1" si="119"/>
        <v>1.1977101599753859</v>
      </c>
      <c r="W266" s="304">
        <f t="shared" ca="1" si="120"/>
        <v>256.31480329411812</v>
      </c>
      <c r="Y266" s="314" t="str">
        <f t="shared" ca="1" si="138"/>
        <v/>
      </c>
      <c r="Z266" s="315" t="str">
        <f t="shared" ca="1" si="139"/>
        <v/>
      </c>
      <c r="AA266" s="316" t="str">
        <f t="shared" ca="1" si="140"/>
        <v/>
      </c>
      <c r="AC266" s="310" t="e">
        <f t="shared" ca="1" si="141"/>
        <v>#N/A</v>
      </c>
      <c r="AD266" s="323" t="e">
        <f t="shared" ca="1" si="142"/>
        <v>#N/A</v>
      </c>
      <c r="AE266" s="324">
        <f t="shared" ca="1" si="121"/>
        <v>225.28357271504234</v>
      </c>
      <c r="AG266" s="306">
        <f t="shared" ca="1" si="143"/>
        <v>84.31215280105252</v>
      </c>
      <c r="AH266" s="304">
        <f t="shared" ca="1" si="144"/>
        <v>93.544312615399278</v>
      </c>
    </row>
    <row r="267" spans="1:34" x14ac:dyDescent="0.2">
      <c r="A267" s="347">
        <f t="shared" ca="1" si="122"/>
        <v>0.01</v>
      </c>
      <c r="B267" s="304">
        <f t="shared" ca="1" si="123"/>
        <v>2.6299999999999879</v>
      </c>
      <c r="D267" s="306">
        <f t="shared" ca="1" si="124"/>
        <v>31.642515413371544</v>
      </c>
      <c r="E267" s="307">
        <f t="shared" ca="1" si="125"/>
        <v>78.208935752292717</v>
      </c>
      <c r="F267" s="304">
        <f t="shared" ca="1" si="126"/>
        <v>84.367567306351233</v>
      </c>
      <c r="G267" s="306">
        <f t="shared" ca="1" si="127"/>
        <v>65.135051019724671</v>
      </c>
      <c r="H267" s="307">
        <f t="shared" ca="1" si="128"/>
        <v>181.08591132246096</v>
      </c>
      <c r="I267" s="304">
        <f t="shared" ca="1" si="129"/>
        <v>192.44397145878156</v>
      </c>
      <c r="J267" s="306">
        <f t="shared" ca="1" si="130"/>
        <v>76.366839585261914</v>
      </c>
      <c r="K267" s="307">
        <f t="shared" ca="1" si="131"/>
        <v>227.09052138147933</v>
      </c>
      <c r="L267" s="304">
        <f t="shared" ca="1" si="116"/>
        <v>239.58714299718432</v>
      </c>
      <c r="M267" s="306">
        <f t="shared" ca="1" si="132"/>
        <v>1.2255139375176356</v>
      </c>
      <c r="N267" s="304">
        <f t="shared" ca="1" si="133"/>
        <v>70.216776354219789</v>
      </c>
      <c r="P267" s="310">
        <f t="shared" ca="1" si="134"/>
        <v>10</v>
      </c>
      <c r="Q267" s="304">
        <f t="shared" ca="1" si="135"/>
        <v>2188.2279585062233</v>
      </c>
      <c r="R267" s="306">
        <f t="shared" ca="1" si="136"/>
        <v>1.3159436995432738</v>
      </c>
      <c r="S267" s="307">
        <f t="shared" ca="1" si="137"/>
        <v>20.654694250868875</v>
      </c>
      <c r="T267" s="304">
        <f t="shared" ca="1" si="117"/>
        <v>202.62255060102368</v>
      </c>
      <c r="U267" s="311">
        <f t="shared" ca="1" si="118"/>
        <v>0</v>
      </c>
      <c r="V267" s="306">
        <f t="shared" ca="1" si="119"/>
        <v>1.1974937317704442</v>
      </c>
      <c r="W267" s="304">
        <f t="shared" ca="1" si="120"/>
        <v>258.52856081272722</v>
      </c>
      <c r="Y267" s="314" t="str">
        <f t="shared" ca="1" si="138"/>
        <v/>
      </c>
      <c r="Z267" s="315" t="str">
        <f t="shared" ca="1" si="139"/>
        <v/>
      </c>
      <c r="AA267" s="316" t="str">
        <f t="shared" ca="1" si="140"/>
        <v/>
      </c>
      <c r="AC267" s="310" t="e">
        <f t="shared" ca="1" si="141"/>
        <v>#N/A</v>
      </c>
      <c r="AD267" s="323" t="e">
        <f t="shared" ca="1" si="142"/>
        <v>#N/A</v>
      </c>
      <c r="AE267" s="324">
        <f t="shared" ca="1" si="121"/>
        <v>227.09052138147933</v>
      </c>
      <c r="AG267" s="306">
        <f t="shared" ca="1" si="143"/>
        <v>84.302268546294272</v>
      </c>
      <c r="AH267" s="304">
        <f t="shared" ca="1" si="144"/>
        <v>93.533853938836984</v>
      </c>
    </row>
    <row r="268" spans="1:34" x14ac:dyDescent="0.2">
      <c r="A268" s="347">
        <f t="shared" ca="1" si="122"/>
        <v>0.01</v>
      </c>
      <c r="B268" s="304">
        <f t="shared" ca="1" si="123"/>
        <v>2.6399999999999877</v>
      </c>
      <c r="D268" s="306">
        <f t="shared" ca="1" si="124"/>
        <v>31.654014628384473</v>
      </c>
      <c r="E268" s="307">
        <f t="shared" ca="1" si="125"/>
        <v>78.193248577477561</v>
      </c>
      <c r="F268" s="304">
        <f t="shared" ca="1" si="126"/>
        <v>84.3573397233055</v>
      </c>
      <c r="G268" s="306">
        <f t="shared" ca="1" si="127"/>
        <v>65.451591166008512</v>
      </c>
      <c r="H268" s="307">
        <f t="shared" ca="1" si="128"/>
        <v>181.86784380823573</v>
      </c>
      <c r="I268" s="304">
        <f t="shared" ca="1" si="129"/>
        <v>193.28689401410318</v>
      </c>
      <c r="J268" s="306">
        <f t="shared" ca="1" si="130"/>
        <v>77.01977279619058</v>
      </c>
      <c r="K268" s="307">
        <f t="shared" ca="1" si="131"/>
        <v>228.90529015713281</v>
      </c>
      <c r="L268" s="304">
        <f t="shared" ca="1" si="116"/>
        <v>241.51537686759818</v>
      </c>
      <c r="M268" s="306">
        <f t="shared" ca="1" si="132"/>
        <v>1.2253421557572379</v>
      </c>
      <c r="N268" s="304">
        <f t="shared" ca="1" si="133"/>
        <v>70.206933984351679</v>
      </c>
      <c r="P268" s="310">
        <f t="shared" ca="1" si="134"/>
        <v>10</v>
      </c>
      <c r="Q268" s="304">
        <f t="shared" ca="1" si="135"/>
        <v>2188.9860497925301</v>
      </c>
      <c r="R268" s="306">
        <f t="shared" ca="1" si="136"/>
        <v>1.3163995960361488</v>
      </c>
      <c r="S268" s="307">
        <f t="shared" ca="1" si="137"/>
        <v>20.641530254908513</v>
      </c>
      <c r="T268" s="304">
        <f t="shared" ca="1" si="117"/>
        <v>202.49341180065252</v>
      </c>
      <c r="U268" s="311">
        <f t="shared" ca="1" si="118"/>
        <v>0</v>
      </c>
      <c r="V268" s="306">
        <f t="shared" ca="1" si="119"/>
        <v>1.1972764058242016</v>
      </c>
      <c r="W268" s="304">
        <f t="shared" ca="1" si="120"/>
        <v>260.75094847427079</v>
      </c>
      <c r="Y268" s="314" t="str">
        <f t="shared" ca="1" si="138"/>
        <v/>
      </c>
      <c r="Z268" s="315" t="str">
        <f t="shared" ca="1" si="139"/>
        <v/>
      </c>
      <c r="AA268" s="316" t="str">
        <f t="shared" ca="1" si="140"/>
        <v/>
      </c>
      <c r="AC268" s="310" t="e">
        <f t="shared" ca="1" si="141"/>
        <v>#N/A</v>
      </c>
      <c r="AD268" s="323" t="e">
        <f t="shared" ca="1" si="142"/>
        <v>#N/A</v>
      </c>
      <c r="AE268" s="324">
        <f t="shared" ca="1" si="121"/>
        <v>228.90529015713281</v>
      </c>
      <c r="AG268" s="306">
        <f t="shared" ca="1" si="143"/>
        <v>84.291970347273605</v>
      </c>
      <c r="AH268" s="304">
        <f t="shared" ca="1" si="144"/>
        <v>93.522983283700299</v>
      </c>
    </row>
    <row r="269" spans="1:34" x14ac:dyDescent="0.2">
      <c r="A269" s="347">
        <f t="shared" ca="1" si="122"/>
        <v>0.01</v>
      </c>
      <c r="B269" s="304">
        <f t="shared" ca="1" si="123"/>
        <v>2.6499999999999875</v>
      </c>
      <c r="D269" s="306">
        <f t="shared" ca="1" si="124"/>
        <v>31.665311081246191</v>
      </c>
      <c r="E269" s="307">
        <f t="shared" ca="1" si="125"/>
        <v>78.177194005057203</v>
      </c>
      <c r="F269" s="304">
        <f t="shared" ca="1" si="126"/>
        <v>84.346698740237869</v>
      </c>
      <c r="G269" s="306">
        <f t="shared" ca="1" si="127"/>
        <v>65.76824427682098</v>
      </c>
      <c r="H269" s="307">
        <f t="shared" ca="1" si="128"/>
        <v>182.64961574828629</v>
      </c>
      <c r="I269" s="304">
        <f t="shared" ca="1" si="129"/>
        <v>194.12970944255861</v>
      </c>
      <c r="J269" s="306">
        <f t="shared" ca="1" si="130"/>
        <v>77.675871973404725</v>
      </c>
      <c r="K269" s="307">
        <f t="shared" ca="1" si="131"/>
        <v>230.72787745491542</v>
      </c>
      <c r="L269" s="304">
        <f t="shared" ca="1" si="116"/>
        <v>243.45203741533817</v>
      </c>
      <c r="M269" s="306">
        <f t="shared" ca="1" si="132"/>
        <v>1.2251710381075165</v>
      </c>
      <c r="N269" s="304">
        <f t="shared" ca="1" si="133"/>
        <v>70.197129665222448</v>
      </c>
      <c r="P269" s="310">
        <f t="shared" ca="1" si="134"/>
        <v>10</v>
      </c>
      <c r="Q269" s="304">
        <f t="shared" ca="1" si="135"/>
        <v>2189.7441410788374</v>
      </c>
      <c r="R269" s="306">
        <f t="shared" ca="1" si="136"/>
        <v>1.3168554925290241</v>
      </c>
      <c r="S269" s="307">
        <f t="shared" ca="1" si="137"/>
        <v>20.628361699983223</v>
      </c>
      <c r="T269" s="304">
        <f t="shared" ca="1" si="117"/>
        <v>202.36422827683543</v>
      </c>
      <c r="U269" s="311">
        <f t="shared" ca="1" si="118"/>
        <v>0</v>
      </c>
      <c r="V269" s="306">
        <f t="shared" ca="1" si="119"/>
        <v>1.1970581828202784</v>
      </c>
      <c r="W269" s="304">
        <f t="shared" ca="1" si="120"/>
        <v>262.98194123502964</v>
      </c>
      <c r="Y269" s="314" t="str">
        <f t="shared" ca="1" si="138"/>
        <v/>
      </c>
      <c r="Z269" s="315" t="str">
        <f t="shared" ca="1" si="139"/>
        <v/>
      </c>
      <c r="AA269" s="316" t="str">
        <f t="shared" ca="1" si="140"/>
        <v/>
      </c>
      <c r="AC269" s="310" t="e">
        <f t="shared" ca="1" si="141"/>
        <v>#N/A</v>
      </c>
      <c r="AD269" s="323" t="e">
        <f t="shared" ca="1" si="142"/>
        <v>#N/A</v>
      </c>
      <c r="AE269" s="324">
        <f t="shared" ca="1" si="121"/>
        <v>230.72787745491542</v>
      </c>
      <c r="AG269" s="306">
        <f t="shared" ca="1" si="143"/>
        <v>84.281258627516976</v>
      </c>
      <c r="AH269" s="304">
        <f t="shared" ca="1" si="144"/>
        <v>93.511701057972786</v>
      </c>
    </row>
    <row r="270" spans="1:34" x14ac:dyDescent="0.2">
      <c r="A270" s="347">
        <f t="shared" ca="1" si="122"/>
        <v>0.01</v>
      </c>
      <c r="B270" s="304">
        <f t="shared" ca="1" si="123"/>
        <v>2.6599999999999873</v>
      </c>
      <c r="D270" s="306">
        <f t="shared" ca="1" si="124"/>
        <v>31.676405237812514</v>
      </c>
      <c r="E270" s="307">
        <f t="shared" ca="1" si="125"/>
        <v>78.160772347537602</v>
      </c>
      <c r="F270" s="304">
        <f t="shared" ca="1" si="126"/>
        <v>84.335644793608552</v>
      </c>
      <c r="G270" s="306">
        <f t="shared" ca="1" si="127"/>
        <v>66.085008329199098</v>
      </c>
      <c r="H270" s="307">
        <f t="shared" ca="1" si="128"/>
        <v>183.43122347176168</v>
      </c>
      <c r="I270" s="304">
        <f t="shared" ca="1" si="129"/>
        <v>194.97241361335631</v>
      </c>
      <c r="J270" s="306">
        <f t="shared" ca="1" si="130"/>
        <v>78.33513823643483</v>
      </c>
      <c r="K270" s="307">
        <f t="shared" ca="1" si="131"/>
        <v>232.55828165101565</v>
      </c>
      <c r="L270" s="304">
        <f t="shared" ca="1" si="116"/>
        <v>245.39712355077529</v>
      </c>
      <c r="M270" s="306">
        <f t="shared" ca="1" si="132"/>
        <v>1.2250005790490601</v>
      </c>
      <c r="N270" s="304">
        <f t="shared" ca="1" si="133"/>
        <v>70.187363080593116</v>
      </c>
      <c r="P270" s="310">
        <f t="shared" ca="1" si="134"/>
        <v>10</v>
      </c>
      <c r="Q270" s="304">
        <f t="shared" ca="1" si="135"/>
        <v>2190.5022323651442</v>
      </c>
      <c r="R270" s="306">
        <f t="shared" ca="1" si="136"/>
        <v>1.317311389021899</v>
      </c>
      <c r="S270" s="307">
        <f t="shared" ca="1" si="137"/>
        <v>20.615188586093005</v>
      </c>
      <c r="T270" s="304">
        <f t="shared" ca="1" si="117"/>
        <v>202.23500002957238</v>
      </c>
      <c r="U270" s="311">
        <f t="shared" ca="1" si="118"/>
        <v>0</v>
      </c>
      <c r="V270" s="306">
        <f t="shared" ca="1" si="119"/>
        <v>1.1968390634484565</v>
      </c>
      <c r="W270" s="304">
        <f t="shared" ca="1" si="120"/>
        <v>265.22151384310922</v>
      </c>
      <c r="Y270" s="314" t="str">
        <f t="shared" ca="1" si="138"/>
        <v/>
      </c>
      <c r="Z270" s="315" t="str">
        <f t="shared" ca="1" si="139"/>
        <v/>
      </c>
      <c r="AA270" s="316" t="str">
        <f t="shared" ca="1" si="140"/>
        <v/>
      </c>
      <c r="AC270" s="310" t="e">
        <f t="shared" ca="1" si="141"/>
        <v>#N/A</v>
      </c>
      <c r="AD270" s="323" t="e">
        <f t="shared" ca="1" si="142"/>
        <v>#N/A</v>
      </c>
      <c r="AE270" s="324">
        <f t="shared" ca="1" si="121"/>
        <v>232.55828165101565</v>
      </c>
      <c r="AG270" s="306">
        <f t="shared" ca="1" si="143"/>
        <v>84.270133821014355</v>
      </c>
      <c r="AH270" s="304">
        <f t="shared" ca="1" si="144"/>
        <v>93.500007680279907</v>
      </c>
    </row>
    <row r="271" spans="1:34" x14ac:dyDescent="0.2">
      <c r="A271" s="347">
        <f t="shared" ca="1" si="122"/>
        <v>0.01</v>
      </c>
      <c r="B271" s="304">
        <f t="shared" ca="1" si="123"/>
        <v>2.6699999999999871</v>
      </c>
      <c r="D271" s="306">
        <f t="shared" ca="1" si="124"/>
        <v>31.68729756306546</v>
      </c>
      <c r="E271" s="307">
        <f t="shared" ca="1" si="125"/>
        <v>78.14398392858628</v>
      </c>
      <c r="F271" s="304">
        <f t="shared" ca="1" si="126"/>
        <v>84.324178330306935</v>
      </c>
      <c r="G271" s="306">
        <f t="shared" ca="1" si="127"/>
        <v>66.401881304829757</v>
      </c>
      <c r="H271" s="307">
        <f t="shared" ca="1" si="128"/>
        <v>184.21266331104755</v>
      </c>
      <c r="I271" s="304">
        <f t="shared" ca="1" si="129"/>
        <v>195.81500240014824</v>
      </c>
      <c r="J271" s="306">
        <f t="shared" ca="1" si="130"/>
        <v>78.997572684604975</v>
      </c>
      <c r="K271" s="307">
        <f t="shared" ca="1" si="131"/>
        <v>234.3965010849297</v>
      </c>
      <c r="L271" s="304">
        <f t="shared" ca="1" si="116"/>
        <v>247.35063414294473</v>
      </c>
      <c r="M271" s="306">
        <f t="shared" ca="1" si="132"/>
        <v>1.224830773128605</v>
      </c>
      <c r="N271" s="304">
        <f t="shared" ca="1" si="133"/>
        <v>70.177633918014706</v>
      </c>
      <c r="P271" s="310">
        <f t="shared" ca="1" si="134"/>
        <v>10</v>
      </c>
      <c r="Q271" s="304">
        <f t="shared" ca="1" si="135"/>
        <v>2191.2603236514515</v>
      </c>
      <c r="R271" s="306">
        <f t="shared" ca="1" si="136"/>
        <v>1.3177672855147744</v>
      </c>
      <c r="S271" s="307">
        <f t="shared" ca="1" si="137"/>
        <v>20.602010913237859</v>
      </c>
      <c r="T271" s="304">
        <f t="shared" ca="1" si="117"/>
        <v>202.10572705886341</v>
      </c>
      <c r="U271" s="311">
        <f t="shared" ca="1" si="118"/>
        <v>0</v>
      </c>
      <c r="V271" s="306">
        <f t="shared" ca="1" si="119"/>
        <v>1.1966190484046668</v>
      </c>
      <c r="W271" s="304">
        <f t="shared" ca="1" si="120"/>
        <v>267.46964083943243</v>
      </c>
      <c r="Y271" s="314" t="str">
        <f t="shared" ca="1" si="138"/>
        <v/>
      </c>
      <c r="Z271" s="315" t="str">
        <f t="shared" ca="1" si="139"/>
        <v/>
      </c>
      <c r="AA271" s="316" t="str">
        <f t="shared" ca="1" si="140"/>
        <v/>
      </c>
      <c r="AC271" s="310" t="e">
        <f t="shared" ca="1" si="141"/>
        <v>#N/A</v>
      </c>
      <c r="AD271" s="323" t="e">
        <f t="shared" ca="1" si="142"/>
        <v>#N/A</v>
      </c>
      <c r="AE271" s="324">
        <f t="shared" ca="1" si="121"/>
        <v>234.3965010849297</v>
      </c>
      <c r="AG271" s="306">
        <f t="shared" ca="1" si="143"/>
        <v>84.258596372209396</v>
      </c>
      <c r="AH271" s="304">
        <f t="shared" ca="1" si="144"/>
        <v>93.487903579876402</v>
      </c>
    </row>
    <row r="272" spans="1:34" x14ac:dyDescent="0.2">
      <c r="A272" s="347">
        <f t="shared" ca="1" si="122"/>
        <v>0.01</v>
      </c>
      <c r="B272" s="304">
        <f t="shared" ca="1" si="123"/>
        <v>2.6799999999999868</v>
      </c>
      <c r="D272" s="306">
        <f t="shared" ca="1" si="124"/>
        <v>31.697988521194574</v>
      </c>
      <c r="E272" s="307">
        <f t="shared" ca="1" si="125"/>
        <v>78.126829082996949</v>
      </c>
      <c r="F272" s="304">
        <f t="shared" ca="1" si="126"/>
        <v>84.312299807641352</v>
      </c>
      <c r="G272" s="306">
        <f t="shared" ca="1" si="127"/>
        <v>66.718861190041707</v>
      </c>
      <c r="H272" s="307">
        <f t="shared" ca="1" si="128"/>
        <v>184.99393160187751</v>
      </c>
      <c r="I272" s="304">
        <f t="shared" ca="1" si="129"/>
        <v>196.65747168113441</v>
      </c>
      <c r="J272" s="306">
        <f t="shared" ca="1" si="130"/>
        <v>79.663176397079326</v>
      </c>
      <c r="K272" s="307">
        <f t="shared" ca="1" si="131"/>
        <v>236.24253405949432</v>
      </c>
      <c r="L272" s="304">
        <f t="shared" ca="1" si="116"/>
        <v>249.31256801959165</v>
      </c>
      <c r="M272" s="306">
        <f t="shared" ca="1" si="132"/>
        <v>1.2246616149579719</v>
      </c>
      <c r="N272" s="304">
        <f t="shared" ca="1" si="133"/>
        <v>70.167941868767272</v>
      </c>
      <c r="P272" s="310">
        <f t="shared" ca="1" si="134"/>
        <v>10</v>
      </c>
      <c r="Q272" s="304">
        <f t="shared" ca="1" si="135"/>
        <v>2192.0184149377583</v>
      </c>
      <c r="R272" s="306">
        <f t="shared" ca="1" si="136"/>
        <v>1.3182231820076495</v>
      </c>
      <c r="S272" s="307">
        <f t="shared" ca="1" si="137"/>
        <v>20.58882868141778</v>
      </c>
      <c r="T272" s="304">
        <f t="shared" ca="1" si="117"/>
        <v>201.97640936470845</v>
      </c>
      <c r="U272" s="311">
        <f t="shared" ca="1" si="118"/>
        <v>0</v>
      </c>
      <c r="V272" s="306">
        <f t="shared" ca="1" si="119"/>
        <v>1.196398138390979</v>
      </c>
      <c r="W272" s="304">
        <f t="shared" ca="1" si="120"/>
        <v>269.72629655874533</v>
      </c>
      <c r="Y272" s="314" t="str">
        <f t="shared" ca="1" si="138"/>
        <v/>
      </c>
      <c r="Z272" s="315" t="str">
        <f t="shared" ca="1" si="139"/>
        <v/>
      </c>
      <c r="AA272" s="316" t="str">
        <f t="shared" ca="1" si="140"/>
        <v/>
      </c>
      <c r="AC272" s="310" t="e">
        <f t="shared" ca="1" si="141"/>
        <v>#N/A</v>
      </c>
      <c r="AD272" s="323" t="e">
        <f t="shared" ca="1" si="142"/>
        <v>#N/A</v>
      </c>
      <c r="AE272" s="324">
        <f t="shared" ca="1" si="121"/>
        <v>236.24253405949432</v>
      </c>
      <c r="AG272" s="306">
        <f t="shared" ca="1" si="143"/>
        <v>84.246646735988818</v>
      </c>
      <c r="AH272" s="304">
        <f t="shared" ca="1" si="144"/>
        <v>93.475389196632932</v>
      </c>
    </row>
    <row r="273" spans="1:34" x14ac:dyDescent="0.2">
      <c r="A273" s="347">
        <f t="shared" ca="1" si="122"/>
        <v>0.01</v>
      </c>
      <c r="B273" s="304">
        <f t="shared" ca="1" si="123"/>
        <v>2.6899999999999866</v>
      </c>
      <c r="D273" s="306">
        <f t="shared" ca="1" si="124"/>
        <v>31.708478575676487</v>
      </c>
      <c r="E273" s="307">
        <f t="shared" ca="1" si="125"/>
        <v>78.109308156653938</v>
      </c>
      <c r="F273" s="304">
        <f t="shared" ca="1" si="126"/>
        <v>84.300009693328391</v>
      </c>
      <c r="G273" s="306">
        <f t="shared" ca="1" si="127"/>
        <v>67.035945975798469</v>
      </c>
      <c r="H273" s="307">
        <f t="shared" ca="1" si="128"/>
        <v>185.77502468344406</v>
      </c>
      <c r="I273" s="304">
        <f t="shared" ca="1" si="129"/>
        <v>197.49981733916721</v>
      </c>
      <c r="J273" s="306">
        <f t="shared" ca="1" si="130"/>
        <v>80.331950432908528</v>
      </c>
      <c r="K273" s="307">
        <f t="shared" ca="1" si="131"/>
        <v>238.09637884092092</v>
      </c>
      <c r="L273" s="304">
        <f t="shared" ca="1" si="116"/>
        <v>251.2829239672179</v>
      </c>
      <c r="M273" s="306">
        <f t="shared" ca="1" si="132"/>
        <v>1.2244930992130254</v>
      </c>
      <c r="N273" s="304">
        <f t="shared" ca="1" si="133"/>
        <v>70.158286627800337</v>
      </c>
      <c r="P273" s="310">
        <f t="shared" ca="1" si="134"/>
        <v>10</v>
      </c>
      <c r="Q273" s="304">
        <f t="shared" ca="1" si="135"/>
        <v>2192.7765062240655</v>
      </c>
      <c r="R273" s="306">
        <f t="shared" ca="1" si="136"/>
        <v>1.3186790785005249</v>
      </c>
      <c r="S273" s="307">
        <f t="shared" ca="1" si="137"/>
        <v>20.575641890632774</v>
      </c>
      <c r="T273" s="304">
        <f t="shared" ca="1" si="117"/>
        <v>201.84704694710751</v>
      </c>
      <c r="U273" s="311">
        <f t="shared" ca="1" si="118"/>
        <v>0</v>
      </c>
      <c r="V273" s="306">
        <f t="shared" ca="1" si="119"/>
        <v>1.1961763341155871</v>
      </c>
      <c r="W273" s="304">
        <f t="shared" ca="1" si="120"/>
        <v>271.9914551306328</v>
      </c>
      <c r="Y273" s="314" t="str">
        <f t="shared" ca="1" si="138"/>
        <v/>
      </c>
      <c r="Z273" s="315" t="str">
        <f t="shared" ca="1" si="139"/>
        <v/>
      </c>
      <c r="AA273" s="316" t="str">
        <f t="shared" ca="1" si="140"/>
        <v/>
      </c>
      <c r="AC273" s="310" t="e">
        <f t="shared" ca="1" si="141"/>
        <v>#N/A</v>
      </c>
      <c r="AD273" s="323" t="e">
        <f t="shared" ca="1" si="142"/>
        <v>#N/A</v>
      </c>
      <c r="AE273" s="324">
        <f t="shared" ca="1" si="121"/>
        <v>238.09637884092092</v>
      </c>
      <c r="AG273" s="306">
        <f t="shared" ca="1" si="143"/>
        <v>84.23428537767127</v>
      </c>
      <c r="AH273" s="304">
        <f t="shared" ca="1" si="144"/>
        <v>93.462464981022251</v>
      </c>
    </row>
    <row r="274" spans="1:34" x14ac:dyDescent="0.2">
      <c r="A274" s="347">
        <f t="shared" ca="1" si="122"/>
        <v>0.01</v>
      </c>
      <c r="B274" s="304">
        <f t="shared" ca="1" si="123"/>
        <v>2.6999999999999864</v>
      </c>
      <c r="D274" s="306">
        <f t="shared" ca="1" si="124"/>
        <v>31.718768189352435</v>
      </c>
      <c r="E274" s="307">
        <f t="shared" ca="1" si="125"/>
        <v>78.091421506496516</v>
      </c>
      <c r="F274" s="304">
        <f t="shared" ca="1" si="126"/>
        <v>84.287308465481217</v>
      </c>
      <c r="G274" s="306">
        <f t="shared" ca="1" si="127"/>
        <v>67.353133657691998</v>
      </c>
      <c r="H274" s="307">
        <f t="shared" ca="1" si="128"/>
        <v>186.55593889850903</v>
      </c>
      <c r="I274" s="304">
        <f t="shared" ca="1" si="129"/>
        <v>198.34203526185556</v>
      </c>
      <c r="J274" s="306">
        <f t="shared" ca="1" si="130"/>
        <v>81.00389583107598</v>
      </c>
      <c r="K274" s="307">
        <f t="shared" ca="1" si="131"/>
        <v>239.95803365883069</v>
      </c>
      <c r="L274" s="304">
        <f t="shared" ca="1" si="116"/>
        <v>253.26170073112976</v>
      </c>
      <c r="M274" s="306">
        <f t="shared" ca="1" si="132"/>
        <v>1.2243252206326549</v>
      </c>
      <c r="N274" s="304">
        <f t="shared" ca="1" si="133"/>
        <v>70.148667893674471</v>
      </c>
      <c r="P274" s="310">
        <f t="shared" ca="1" si="134"/>
        <v>10</v>
      </c>
      <c r="Q274" s="304">
        <f t="shared" ca="1" si="135"/>
        <v>2193.5345975103724</v>
      </c>
      <c r="R274" s="306">
        <f t="shared" ca="1" si="136"/>
        <v>1.3191349749933998</v>
      </c>
      <c r="S274" s="307">
        <f t="shared" ca="1" si="137"/>
        <v>20.562450540882839</v>
      </c>
      <c r="T274" s="304">
        <f t="shared" ca="1" si="117"/>
        <v>201.71763980606067</v>
      </c>
      <c r="U274" s="311">
        <f t="shared" ca="1" si="118"/>
        <v>0</v>
      </c>
      <c r="V274" s="306">
        <f t="shared" ca="1" si="119"/>
        <v>1.1959536362927994</v>
      </c>
      <c r="W274" s="304">
        <f t="shared" ca="1" si="120"/>
        <v>274.26509048054533</v>
      </c>
      <c r="Y274" s="314" t="str">
        <f t="shared" ca="1" si="138"/>
        <v/>
      </c>
      <c r="Z274" s="315" t="str">
        <f t="shared" ca="1" si="139"/>
        <v/>
      </c>
      <c r="AA274" s="316" t="str">
        <f t="shared" ca="1" si="140"/>
        <v/>
      </c>
      <c r="AC274" s="310" t="e">
        <f t="shared" ca="1" si="141"/>
        <v>#N/A</v>
      </c>
      <c r="AD274" s="323" t="e">
        <f t="shared" ca="1" si="142"/>
        <v>#N/A</v>
      </c>
      <c r="AE274" s="324">
        <f t="shared" ca="1" si="121"/>
        <v>239.95803365883069</v>
      </c>
      <c r="AG274" s="306">
        <f t="shared" ca="1" si="143"/>
        <v>84.221512772995396</v>
      </c>
      <c r="AH274" s="304">
        <f t="shared" ca="1" si="144"/>
        <v>93.449131394104697</v>
      </c>
    </row>
    <row r="275" spans="1:34" x14ac:dyDescent="0.2">
      <c r="A275" s="347">
        <f t="shared" ca="1" si="122"/>
        <v>0.01</v>
      </c>
      <c r="B275" s="304">
        <f t="shared" ca="1" si="123"/>
        <v>2.7099999999999862</v>
      </c>
      <c r="D275" s="306">
        <f t="shared" ca="1" si="124"/>
        <v>31.728857824504004</v>
      </c>
      <c r="E275" s="307">
        <f t="shared" ca="1" si="125"/>
        <v>78.073169500483274</v>
      </c>
      <c r="F275" s="304">
        <f t="shared" ca="1" si="126"/>
        <v>84.274196612597734</v>
      </c>
      <c r="G275" s="306">
        <f t="shared" ca="1" si="127"/>
        <v>67.670422235937039</v>
      </c>
      <c r="H275" s="307">
        <f t="shared" ca="1" si="128"/>
        <v>187.33667059351387</v>
      </c>
      <c r="I275" s="304">
        <f t="shared" ca="1" si="129"/>
        <v>199.184121341669</v>
      </c>
      <c r="J275" s="306">
        <f t="shared" ca="1" si="130"/>
        <v>81.679013610544118</v>
      </c>
      <c r="K275" s="307">
        <f t="shared" ca="1" si="131"/>
        <v>241.82749670629079</v>
      </c>
      <c r="L275" s="304">
        <f t="shared" ca="1" si="116"/>
        <v>255.2488970154867</v>
      </c>
      <c r="M275" s="306">
        <f t="shared" ca="1" si="132"/>
        <v>1.2241579740177746</v>
      </c>
      <c r="N275" s="304">
        <f t="shared" ca="1" si="133"/>
        <v>70.13908536850397</v>
      </c>
      <c r="P275" s="310">
        <f t="shared" ca="1" si="134"/>
        <v>10</v>
      </c>
      <c r="Q275" s="304">
        <f t="shared" ca="1" si="135"/>
        <v>2194.2926887966796</v>
      </c>
      <c r="R275" s="306">
        <f t="shared" ca="1" si="136"/>
        <v>1.3195908714862752</v>
      </c>
      <c r="S275" s="307">
        <f t="shared" ca="1" si="137"/>
        <v>20.549254632167976</v>
      </c>
      <c r="T275" s="304">
        <f t="shared" ca="1" si="117"/>
        <v>201.58818794156787</v>
      </c>
      <c r="U275" s="311">
        <f t="shared" ca="1" si="118"/>
        <v>0</v>
      </c>
      <c r="V275" s="306">
        <f t="shared" ca="1" si="119"/>
        <v>1.1957300456430224</v>
      </c>
      <c r="W275" s="304">
        <f t="shared" ca="1" si="120"/>
        <v>276.54717633083612</v>
      </c>
      <c r="Y275" s="314" t="str">
        <f t="shared" ca="1" si="138"/>
        <v/>
      </c>
      <c r="Z275" s="315" t="str">
        <f t="shared" ca="1" si="139"/>
        <v/>
      </c>
      <c r="AA275" s="316" t="str">
        <f t="shared" ca="1" si="140"/>
        <v/>
      </c>
      <c r="AC275" s="310" t="e">
        <f t="shared" ca="1" si="141"/>
        <v>#N/A</v>
      </c>
      <c r="AD275" s="323" t="e">
        <f t="shared" ca="1" si="142"/>
        <v>#N/A</v>
      </c>
      <c r="AE275" s="324">
        <f t="shared" ca="1" si="121"/>
        <v>241.82749670629079</v>
      </c>
      <c r="AG275" s="306">
        <f t="shared" ca="1" si="143"/>
        <v>84.208329408107573</v>
      </c>
      <c r="AH275" s="304">
        <f t="shared" ca="1" si="144"/>
        <v>93.435388907513314</v>
      </c>
    </row>
    <row r="276" spans="1:34" x14ac:dyDescent="0.2">
      <c r="A276" s="347">
        <f t="shared" ca="1" si="122"/>
        <v>0.01</v>
      </c>
      <c r="B276" s="304">
        <f t="shared" ca="1" si="123"/>
        <v>2.719999999999986</v>
      </c>
      <c r="D276" s="306">
        <f t="shared" ca="1" si="124"/>
        <v>31.738747942927073</v>
      </c>
      <c r="E276" s="307">
        <f t="shared" ca="1" si="125"/>
        <v>78.05455251755626</v>
      </c>
      <c r="F276" s="304">
        <f t="shared" ca="1" si="126"/>
        <v>84.260674633547808</v>
      </c>
      <c r="G276" s="306">
        <f t="shared" ca="1" si="127"/>
        <v>67.987809715366311</v>
      </c>
      <c r="H276" s="307">
        <f t="shared" ca="1" si="128"/>
        <v>188.11721611868944</v>
      </c>
      <c r="I276" s="304">
        <f t="shared" ca="1" si="129"/>
        <v>200.02607147604175</v>
      </c>
      <c r="J276" s="306">
        <f t="shared" ca="1" si="130"/>
        <v>82.35730477030063</v>
      </c>
      <c r="K276" s="307">
        <f t="shared" ca="1" si="131"/>
        <v>243.70476613985181</v>
      </c>
      <c r="L276" s="304">
        <f t="shared" ca="1" si="116"/>
        <v>257.24451148335129</v>
      </c>
      <c r="M276" s="306">
        <f t="shared" ca="1" si="132"/>
        <v>1.223991354230344</v>
      </c>
      <c r="N276" s="304">
        <f t="shared" ca="1" si="133"/>
        <v>70.129538757900832</v>
      </c>
      <c r="P276" s="310">
        <f t="shared" ca="1" si="134"/>
        <v>10</v>
      </c>
      <c r="Q276" s="304">
        <f t="shared" ca="1" si="135"/>
        <v>2195.0507800829864</v>
      </c>
      <c r="R276" s="306">
        <f t="shared" ca="1" si="136"/>
        <v>1.3200467679791503</v>
      </c>
      <c r="S276" s="307">
        <f t="shared" ca="1" si="137"/>
        <v>20.536054164488185</v>
      </c>
      <c r="T276" s="304">
        <f t="shared" ca="1" si="117"/>
        <v>201.45869135362909</v>
      </c>
      <c r="U276" s="311">
        <f t="shared" ca="1" si="118"/>
        <v>0</v>
      </c>
      <c r="V276" s="306">
        <f t="shared" ca="1" si="119"/>
        <v>1.1955055628927509</v>
      </c>
      <c r="W276" s="304">
        <f t="shared" ca="1" si="120"/>
        <v>278.8376862018111</v>
      </c>
      <c r="Y276" s="314" t="str">
        <f t="shared" ca="1" si="138"/>
        <v/>
      </c>
      <c r="Z276" s="315" t="str">
        <f t="shared" ca="1" si="139"/>
        <v/>
      </c>
      <c r="AA276" s="316" t="str">
        <f t="shared" ca="1" si="140"/>
        <v/>
      </c>
      <c r="AC276" s="310" t="e">
        <f t="shared" ca="1" si="141"/>
        <v>#N/A</v>
      </c>
      <c r="AD276" s="323" t="e">
        <f t="shared" ca="1" si="142"/>
        <v>#N/A</v>
      </c>
      <c r="AE276" s="324">
        <f t="shared" ca="1" si="121"/>
        <v>243.70476613985181</v>
      </c>
      <c r="AG276" s="306">
        <f t="shared" ca="1" si="143"/>
        <v>84.19473577954885</v>
      </c>
      <c r="AH276" s="304">
        <f t="shared" ca="1" si="144"/>
        <v>93.421238003438276</v>
      </c>
    </row>
    <row r="277" spans="1:34" x14ac:dyDescent="0.2">
      <c r="A277" s="347">
        <f t="shared" ca="1" si="122"/>
        <v>0.01</v>
      </c>
      <c r="B277" s="304">
        <f t="shared" ca="1" si="123"/>
        <v>2.7299999999999858</v>
      </c>
      <c r="D277" s="306">
        <f t="shared" ca="1" si="124"/>
        <v>31.748439006003998</v>
      </c>
      <c r="E277" s="307">
        <f t="shared" ca="1" si="125"/>
        <v>78.035570947605081</v>
      </c>
      <c r="F277" s="304">
        <f t="shared" ca="1" si="126"/>
        <v>84.246743037559995</v>
      </c>
      <c r="G277" s="306">
        <f t="shared" ca="1" si="127"/>
        <v>68.305294105426356</v>
      </c>
      <c r="H277" s="307">
        <f t="shared" ca="1" si="128"/>
        <v>188.8975718281655</v>
      </c>
      <c r="I277" s="304">
        <f t="shared" ca="1" si="129"/>
        <v>200.86788156747642</v>
      </c>
      <c r="J277" s="306">
        <f t="shared" ca="1" si="130"/>
        <v>83.038770289404596</v>
      </c>
      <c r="K277" s="307">
        <f t="shared" ca="1" si="131"/>
        <v>245.58984007958608</v>
      </c>
      <c r="L277" s="304">
        <f t="shared" ca="1" si="116"/>
        <v>259.24854275673988</v>
      </c>
      <c r="M277" s="306">
        <f t="shared" ca="1" si="132"/>
        <v>1.2238253561924082</v>
      </c>
      <c r="N277" s="304">
        <f t="shared" ca="1" si="133"/>
        <v>70.120027770919663</v>
      </c>
      <c r="P277" s="310">
        <f t="shared" ca="1" si="134"/>
        <v>10</v>
      </c>
      <c r="Q277" s="304">
        <f t="shared" ca="1" si="135"/>
        <v>2195.8088713692937</v>
      </c>
      <c r="R277" s="306">
        <f t="shared" ca="1" si="136"/>
        <v>1.3205026644720255</v>
      </c>
      <c r="S277" s="307">
        <f t="shared" ca="1" si="137"/>
        <v>20.522849137843465</v>
      </c>
      <c r="T277" s="304">
        <f t="shared" ca="1" si="117"/>
        <v>201.32915004224441</v>
      </c>
      <c r="U277" s="311">
        <f t="shared" ca="1" si="118"/>
        <v>0</v>
      </c>
      <c r="V277" s="306">
        <f t="shared" ca="1" si="119"/>
        <v>1.1952801887745534</v>
      </c>
      <c r="W277" s="304">
        <f t="shared" ca="1" si="120"/>
        <v>281.13659341278697</v>
      </c>
      <c r="Y277" s="314" t="str">
        <f t="shared" ca="1" si="138"/>
        <v/>
      </c>
      <c r="Z277" s="315" t="str">
        <f t="shared" ca="1" si="139"/>
        <v/>
      </c>
      <c r="AA277" s="316" t="str">
        <f t="shared" ca="1" si="140"/>
        <v/>
      </c>
      <c r="AC277" s="310" t="e">
        <f t="shared" ca="1" si="141"/>
        <v>#N/A</v>
      </c>
      <c r="AD277" s="323" t="e">
        <f t="shared" ca="1" si="142"/>
        <v>#N/A</v>
      </c>
      <c r="AE277" s="324">
        <f t="shared" ca="1" si="121"/>
        <v>245.58984007958608</v>
      </c>
      <c r="AG277" s="306">
        <f t="shared" ca="1" si="143"/>
        <v>84.180732394241332</v>
      </c>
      <c r="AH277" s="304">
        <f t="shared" ca="1" si="144"/>
        <v>93.406679174610815</v>
      </c>
    </row>
    <row r="278" spans="1:34" x14ac:dyDescent="0.2">
      <c r="A278" s="347">
        <f t="shared" ca="1" si="122"/>
        <v>0.01</v>
      </c>
      <c r="B278" s="304">
        <f t="shared" ca="1" si="123"/>
        <v>2.7399999999999856</v>
      </c>
      <c r="D278" s="306">
        <f t="shared" ca="1" si="124"/>
        <v>31.757931474774015</v>
      </c>
      <c r="E278" s="307">
        <f t="shared" ca="1" si="125"/>
        <v>78.016225191430763</v>
      </c>
      <c r="F278" s="304">
        <f t="shared" ca="1" si="126"/>
        <v>84.232402344207642</v>
      </c>
      <c r="G278" s="306">
        <f t="shared" ca="1" si="127"/>
        <v>68.622873420174102</v>
      </c>
      <c r="H278" s="307">
        <f t="shared" ca="1" si="128"/>
        <v>189.6777340800798</v>
      </c>
      <c r="I278" s="304">
        <f t="shared" ca="1" si="129"/>
        <v>201.70954752364773</v>
      </c>
      <c r="J278" s="306">
        <f t="shared" ca="1" si="130"/>
        <v>83.723411127032591</v>
      </c>
      <c r="K278" s="307">
        <f t="shared" ca="1" si="131"/>
        <v>247.48271660912732</v>
      </c>
      <c r="L278" s="304">
        <f t="shared" ca="1" si="116"/>
        <v>261.26098941667459</v>
      </c>
      <c r="M278" s="306">
        <f t="shared" ca="1" si="132"/>
        <v>1.2236599748851562</v>
      </c>
      <c r="N278" s="304">
        <f t="shared" ca="1" si="133"/>
        <v>70.11055212000376</v>
      </c>
      <c r="P278" s="310">
        <f t="shared" ca="1" si="134"/>
        <v>10</v>
      </c>
      <c r="Q278" s="304">
        <f t="shared" ca="1" si="135"/>
        <v>2196.5669626556005</v>
      </c>
      <c r="R278" s="306">
        <f t="shared" ca="1" si="136"/>
        <v>1.3209585609649006</v>
      </c>
      <c r="S278" s="307">
        <f t="shared" ca="1" si="137"/>
        <v>20.509639552233818</v>
      </c>
      <c r="T278" s="304">
        <f t="shared" ca="1" si="117"/>
        <v>201.19956400741376</v>
      </c>
      <c r="U278" s="311">
        <f t="shared" ca="1" si="118"/>
        <v>0</v>
      </c>
      <c r="V278" s="306">
        <f t="shared" ca="1" si="119"/>
        <v>1.1950539240270603</v>
      </c>
      <c r="W278" s="304">
        <f t="shared" ca="1" si="120"/>
        <v>283.44387108316221</v>
      </c>
      <c r="Y278" s="314" t="str">
        <f t="shared" ca="1" si="138"/>
        <v/>
      </c>
      <c r="Z278" s="315" t="str">
        <f t="shared" ca="1" si="139"/>
        <v/>
      </c>
      <c r="AA278" s="316" t="str">
        <f t="shared" ca="1" si="140"/>
        <v/>
      </c>
      <c r="AC278" s="310" t="e">
        <f t="shared" ca="1" si="141"/>
        <v>#N/A</v>
      </c>
      <c r="AD278" s="323" t="e">
        <f t="shared" ca="1" si="142"/>
        <v>#N/A</v>
      </c>
      <c r="AE278" s="324">
        <f t="shared" ca="1" si="121"/>
        <v>247.48271660912732</v>
      </c>
      <c r="AG278" s="306">
        <f t="shared" ca="1" si="143"/>
        <v>84.166319769473944</v>
      </c>
      <c r="AH278" s="304">
        <f t="shared" ca="1" si="144"/>
        <v>93.391712924286537</v>
      </c>
    </row>
    <row r="279" spans="1:34" x14ac:dyDescent="0.2">
      <c r="A279" s="347">
        <f t="shared" ca="1" si="122"/>
        <v>0.01</v>
      </c>
      <c r="B279" s="304">
        <f t="shared" ca="1" si="123"/>
        <v>2.7499999999999853</v>
      </c>
      <c r="D279" s="306">
        <f t="shared" ca="1" si="124"/>
        <v>31.767225810002078</v>
      </c>
      <c r="E279" s="307">
        <f t="shared" ca="1" si="125"/>
        <v>77.996515660709733</v>
      </c>
      <c r="F279" s="304">
        <f t="shared" ca="1" si="126"/>
        <v>84.21765308339458</v>
      </c>
      <c r="G279" s="306">
        <f t="shared" ca="1" si="127"/>
        <v>68.94054567827412</v>
      </c>
      <c r="H279" s="307">
        <f t="shared" ca="1" si="128"/>
        <v>190.45769923668689</v>
      </c>
      <c r="I279" s="304">
        <f t="shared" ca="1" si="129"/>
        <v>202.55106525750608</v>
      </c>
      <c r="J279" s="306">
        <f t="shared" ca="1" si="130"/>
        <v>84.411228222524826</v>
      </c>
      <c r="K279" s="307">
        <f t="shared" ca="1" si="131"/>
        <v>249.38339377571117</v>
      </c>
      <c r="L279" s="304">
        <f t="shared" ca="1" si="116"/>
        <v>263.28185000323623</v>
      </c>
      <c r="M279" s="306">
        <f t="shared" ca="1" si="132"/>
        <v>1.2234952053479995</v>
      </c>
      <c r="N279" s="304">
        <f t="shared" ca="1" si="133"/>
        <v>70.101111520932363</v>
      </c>
      <c r="P279" s="310">
        <f t="shared" ca="1" si="134"/>
        <v>10</v>
      </c>
      <c r="Q279" s="304">
        <f t="shared" ca="1" si="135"/>
        <v>2197.3250539419078</v>
      </c>
      <c r="R279" s="306">
        <f t="shared" ca="1" si="136"/>
        <v>1.321414457457776</v>
      </c>
      <c r="S279" s="307">
        <f t="shared" ca="1" si="137"/>
        <v>20.496425407659238</v>
      </c>
      <c r="T279" s="304">
        <f t="shared" ca="1" si="117"/>
        <v>201.06993324913714</v>
      </c>
      <c r="U279" s="311">
        <f t="shared" ca="1" si="118"/>
        <v>0</v>
      </c>
      <c r="V279" s="306">
        <f t="shared" ca="1" si="119"/>
        <v>1.1948267693949486</v>
      </c>
      <c r="W279" s="304">
        <f t="shared" ca="1" si="120"/>
        <v>285.75949213349708</v>
      </c>
      <c r="Y279" s="314" t="str">
        <f t="shared" ca="1" si="138"/>
        <v/>
      </c>
      <c r="Z279" s="315" t="str">
        <f t="shared" ca="1" si="139"/>
        <v/>
      </c>
      <c r="AA279" s="316" t="str">
        <f t="shared" ca="1" si="140"/>
        <v/>
      </c>
      <c r="AC279" s="310" t="e">
        <f t="shared" ca="1" si="141"/>
        <v>#N/A</v>
      </c>
      <c r="AD279" s="323" t="e">
        <f t="shared" ca="1" si="142"/>
        <v>#N/A</v>
      </c>
      <c r="AE279" s="324">
        <f t="shared" ca="1" si="121"/>
        <v>249.38339377571117</v>
      </c>
      <c r="AG279" s="306">
        <f t="shared" ca="1" si="143"/>
        <v>84.151498432887763</v>
      </c>
      <c r="AH279" s="304">
        <f t="shared" ca="1" si="144"/>
        <v>93.376339766228398</v>
      </c>
    </row>
    <row r="280" spans="1:34" x14ac:dyDescent="0.2">
      <c r="A280" s="347">
        <f t="shared" ca="1" si="122"/>
        <v>0.01</v>
      </c>
      <c r="B280" s="304">
        <f t="shared" ca="1" si="123"/>
        <v>2.7599999999999851</v>
      </c>
      <c r="D280" s="306">
        <f t="shared" ca="1" si="124"/>
        <v>31.776322472245788</v>
      </c>
      <c r="E280" s="307">
        <f t="shared" ca="1" si="125"/>
        <v>77.976442777957303</v>
      </c>
      <c r="F280" s="304">
        <f t="shared" ca="1" si="126"/>
        <v>84.202495795339715</v>
      </c>
      <c r="G280" s="306">
        <f t="shared" ca="1" si="127"/>
        <v>69.258308902996575</v>
      </c>
      <c r="H280" s="307">
        <f t="shared" ca="1" si="128"/>
        <v>191.23746366446647</v>
      </c>
      <c r="I280" s="304">
        <f t="shared" ca="1" si="129"/>
        <v>203.39243068738088</v>
      </c>
      <c r="J280" s="306">
        <f t="shared" ca="1" si="130"/>
        <v>85.102222495431178</v>
      </c>
      <c r="K280" s="307">
        <f t="shared" ca="1" si="131"/>
        <v>251.29186959021695</v>
      </c>
      <c r="L280" s="304">
        <f t="shared" ca="1" si="116"/>
        <v>265.31112301561819</v>
      </c>
      <c r="M280" s="306">
        <f t="shared" ca="1" si="132"/>
        <v>1.2233310426776658</v>
      </c>
      <c r="N280" s="304">
        <f t="shared" ca="1" si="133"/>
        <v>70.091705692768642</v>
      </c>
      <c r="P280" s="310">
        <f t="shared" ca="1" si="134"/>
        <v>10</v>
      </c>
      <c r="Q280" s="304">
        <f t="shared" ca="1" si="135"/>
        <v>2198.0831452282146</v>
      </c>
      <c r="R280" s="306">
        <f t="shared" ca="1" si="136"/>
        <v>1.3218703539506509</v>
      </c>
      <c r="S280" s="307">
        <f t="shared" ca="1" si="137"/>
        <v>20.483206704119731</v>
      </c>
      <c r="T280" s="304">
        <f t="shared" ca="1" si="117"/>
        <v>200.94025776741458</v>
      </c>
      <c r="U280" s="311">
        <f t="shared" ca="1" si="118"/>
        <v>0</v>
      </c>
      <c r="V280" s="306">
        <f t="shared" ca="1" si="119"/>
        <v>1.1945987256289303</v>
      </c>
      <c r="W280" s="304">
        <f t="shared" ca="1" si="120"/>
        <v>288.08342928660534</v>
      </c>
      <c r="Y280" s="314" t="str">
        <f t="shared" ca="1" si="138"/>
        <v/>
      </c>
      <c r="Z280" s="315" t="str">
        <f t="shared" ca="1" si="139"/>
        <v/>
      </c>
      <c r="AA280" s="316" t="str">
        <f t="shared" ca="1" si="140"/>
        <v/>
      </c>
      <c r="AC280" s="310" t="e">
        <f t="shared" ca="1" si="141"/>
        <v>#N/A</v>
      </c>
      <c r="AD280" s="323" t="e">
        <f t="shared" ca="1" si="142"/>
        <v>#N/A</v>
      </c>
      <c r="AE280" s="324">
        <f t="shared" ca="1" si="121"/>
        <v>251.29186959021695</v>
      </c>
      <c r="AG280" s="306">
        <f t="shared" ca="1" si="143"/>
        <v>84.13626892246036</v>
      </c>
      <c r="AH280" s="304">
        <f t="shared" ca="1" si="144"/>
        <v>93.360560224688697</v>
      </c>
    </row>
    <row r="281" spans="1:34" x14ac:dyDescent="0.2">
      <c r="A281" s="347">
        <f t="shared" ca="1" si="122"/>
        <v>0.01</v>
      </c>
      <c r="B281" s="304">
        <f t="shared" ca="1" si="123"/>
        <v>2.7699999999999849</v>
      </c>
      <c r="D281" s="306">
        <f t="shared" ca="1" si="124"/>
        <v>31.781681027942646</v>
      </c>
      <c r="E281" s="307">
        <f t="shared" ca="1" si="125"/>
        <v>77.94622978738191</v>
      </c>
      <c r="F281" s="304">
        <f t="shared" ca="1" si="126"/>
        <v>84.176540597895993</v>
      </c>
      <c r="G281" s="306">
        <f t="shared" ca="1" si="127"/>
        <v>69.576125713275999</v>
      </c>
      <c r="H281" s="307">
        <f t="shared" ca="1" si="128"/>
        <v>192.01692596234028</v>
      </c>
      <c r="I281" s="304">
        <f t="shared" ca="1" si="129"/>
        <v>204.23353575085667</v>
      </c>
      <c r="J281" s="306">
        <f t="shared" ca="1" si="130"/>
        <v>85.796394668512548</v>
      </c>
      <c r="K281" s="307">
        <f t="shared" ca="1" si="131"/>
        <v>253.20814153835099</v>
      </c>
      <c r="L281" s="304">
        <f t="shared" ca="1" si="116"/>
        <v>267.34880639236218</v>
      </c>
      <c r="M281" s="306">
        <f t="shared" ca="1" si="132"/>
        <v>1.2231674819440359</v>
      </c>
      <c r="N281" s="304">
        <f t="shared" ca="1" si="133"/>
        <v>70.082334353037581</v>
      </c>
      <c r="P281" s="310">
        <f t="shared" ca="1" si="134"/>
        <v>11</v>
      </c>
      <c r="Q281" s="304">
        <f t="shared" ca="1" si="135"/>
        <v>2198.6284962852892</v>
      </c>
      <c r="R281" s="306">
        <f t="shared" ca="1" si="136"/>
        <v>1.322198313971821</v>
      </c>
      <c r="S281" s="307">
        <f t="shared" ca="1" si="137"/>
        <v>20.469984720980012</v>
      </c>
      <c r="T281" s="304">
        <f t="shared" ca="1" si="117"/>
        <v>200.81055011281393</v>
      </c>
      <c r="U281" s="311">
        <f t="shared" ca="1" si="118"/>
        <v>0</v>
      </c>
      <c r="V281" s="306">
        <f t="shared" ca="1" si="119"/>
        <v>1.1943697935441333</v>
      </c>
      <c r="W281" s="304">
        <f t="shared" ca="1" si="120"/>
        <v>290.41535935076467</v>
      </c>
      <c r="Y281" s="314" t="str">
        <f t="shared" ca="1" si="138"/>
        <v/>
      </c>
      <c r="Z281" s="315" t="str">
        <f t="shared" ca="1" si="139"/>
        <v/>
      </c>
      <c r="AA281" s="316" t="str">
        <f t="shared" ca="1" si="140"/>
        <v/>
      </c>
      <c r="AC281" s="310" t="e">
        <f t="shared" ca="1" si="141"/>
        <v>#N/A</v>
      </c>
      <c r="AD281" s="323" t="e">
        <f t="shared" ca="1" si="142"/>
        <v>#N/A</v>
      </c>
      <c r="AE281" s="324">
        <f t="shared" ca="1" si="121"/>
        <v>253.20814153835099</v>
      </c>
      <c r="AG281" s="306">
        <f t="shared" ca="1" si="143"/>
        <v>84.110233163646228</v>
      </c>
      <c r="AH281" s="304">
        <f t="shared" ca="1" si="144"/>
        <v>93.333976211547238</v>
      </c>
    </row>
    <row r="282" spans="1:34" x14ac:dyDescent="0.2">
      <c r="A282" s="347">
        <f t="shared" ca="1" si="122"/>
        <v>0.01</v>
      </c>
      <c r="B282" s="304">
        <f t="shared" ca="1" si="123"/>
        <v>2.7799999999999847</v>
      </c>
      <c r="D282" s="306">
        <f t="shared" ca="1" si="124"/>
        <v>31.781520823727107</v>
      </c>
      <c r="E282" s="307">
        <f t="shared" ca="1" si="125"/>
        <v>77.90097655148297</v>
      </c>
      <c r="F282" s="304">
        <f t="shared" ca="1" si="126"/>
        <v>84.134577989930506</v>
      </c>
      <c r="G282" s="306">
        <f t="shared" ca="1" si="127"/>
        <v>69.893940921513277</v>
      </c>
      <c r="H282" s="307">
        <f t="shared" ca="1" si="128"/>
        <v>192.79593572785512</v>
      </c>
      <c r="I282" s="304">
        <f t="shared" ca="1" si="129"/>
        <v>205.07422024896067</v>
      </c>
      <c r="J282" s="306">
        <f t="shared" ca="1" si="130"/>
        <v>86.493745001686491</v>
      </c>
      <c r="K282" s="307">
        <f t="shared" ca="1" si="131"/>
        <v>255.13220584680195</v>
      </c>
      <c r="L282" s="304">
        <f t="shared" ca="1" si="116"/>
        <v>269.39489673093601</v>
      </c>
      <c r="M282" s="306">
        <f t="shared" ca="1" si="132"/>
        <v>1.2230045181503784</v>
      </c>
      <c r="N282" s="304">
        <f t="shared" ca="1" si="133"/>
        <v>70.072997215447572</v>
      </c>
      <c r="P282" s="310">
        <f t="shared" ca="1" si="134"/>
        <v>11</v>
      </c>
      <c r="Q282" s="304">
        <f t="shared" ca="1" si="135"/>
        <v>2198.854736998514</v>
      </c>
      <c r="R282" s="306">
        <f t="shared" ca="1" si="136"/>
        <v>1.3223343692854326</v>
      </c>
      <c r="S282" s="307">
        <f t="shared" ca="1" si="137"/>
        <v>20.456761377287158</v>
      </c>
      <c r="T282" s="304">
        <f t="shared" ca="1" si="117"/>
        <v>200.68082911118702</v>
      </c>
      <c r="U282" s="311">
        <f t="shared" ca="1" si="118"/>
        <v>0</v>
      </c>
      <c r="V282" s="306">
        <f t="shared" ca="1" si="119"/>
        <v>1.1941399741076864</v>
      </c>
      <c r="W282" s="304">
        <f t="shared" ca="1" si="120"/>
        <v>292.75480546144394</v>
      </c>
      <c r="Y282" s="314" t="str">
        <f t="shared" ca="1" si="138"/>
        <v/>
      </c>
      <c r="Z282" s="315" t="str">
        <f t="shared" ca="1" si="139"/>
        <v/>
      </c>
      <c r="AA282" s="316" t="str">
        <f t="shared" ca="1" si="140"/>
        <v/>
      </c>
      <c r="AC282" s="310" t="e">
        <f t="shared" ca="1" si="141"/>
        <v>#N/A</v>
      </c>
      <c r="AD282" s="323" t="e">
        <f t="shared" ca="1" si="142"/>
        <v>#N/A</v>
      </c>
      <c r="AE282" s="324">
        <f t="shared" ca="1" si="121"/>
        <v>255.13220584680195</v>
      </c>
      <c r="AG282" s="306">
        <f t="shared" ca="1" si="143"/>
        <v>84.068177500564218</v>
      </c>
      <c r="AH282" s="304">
        <f t="shared" ca="1" si="144"/>
        <v>93.29137405721815</v>
      </c>
    </row>
    <row r="283" spans="1:34" x14ac:dyDescent="0.2">
      <c r="A283" s="347">
        <f t="shared" ca="1" si="122"/>
        <v>0.01</v>
      </c>
      <c r="B283" s="304">
        <f t="shared" ca="1" si="123"/>
        <v>2.7899999999999845</v>
      </c>
      <c r="D283" s="306">
        <f t="shared" ca="1" si="124"/>
        <v>31.781152364173867</v>
      </c>
      <c r="E283" s="307">
        <f t="shared" ca="1" si="125"/>
        <v>77.855353073179842</v>
      </c>
      <c r="F283" s="304">
        <f t="shared" ca="1" si="126"/>
        <v>84.092197305958933</v>
      </c>
      <c r="G283" s="306">
        <f t="shared" ca="1" si="127"/>
        <v>70.211752445155014</v>
      </c>
      <c r="H283" s="307">
        <f t="shared" ca="1" si="128"/>
        <v>193.57448925858691</v>
      </c>
      <c r="I283" s="304">
        <f t="shared" ca="1" si="129"/>
        <v>205.91447999871818</v>
      </c>
      <c r="J283" s="306">
        <f t="shared" ca="1" si="130"/>
        <v>87.194273468519839</v>
      </c>
      <c r="K283" s="307">
        <f t="shared" ca="1" si="131"/>
        <v>257.06405797173414</v>
      </c>
      <c r="L283" s="304">
        <f t="shared" ca="1" si="116"/>
        <v>271.44938980701011</v>
      </c>
      <c r="M283" s="306">
        <f t="shared" ca="1" si="132"/>
        <v>1.2228421463592374</v>
      </c>
      <c r="N283" s="304">
        <f t="shared" ca="1" si="133"/>
        <v>70.063693997103215</v>
      </c>
      <c r="P283" s="310">
        <f t="shared" ca="1" si="134"/>
        <v>11</v>
      </c>
      <c r="Q283" s="304">
        <f t="shared" ca="1" si="135"/>
        <v>2199.0809777117383</v>
      </c>
      <c r="R283" s="306">
        <f t="shared" ca="1" si="136"/>
        <v>1.322470424599044</v>
      </c>
      <c r="S283" s="307">
        <f t="shared" ca="1" si="137"/>
        <v>20.443536673041169</v>
      </c>
      <c r="T283" s="304">
        <f t="shared" ca="1" si="117"/>
        <v>200.55109476253389</v>
      </c>
      <c r="U283" s="311">
        <f t="shared" ca="1" si="118"/>
        <v>0</v>
      </c>
      <c r="V283" s="306">
        <f t="shared" ca="1" si="119"/>
        <v>1.193909268380237</v>
      </c>
      <c r="W283" s="304">
        <f t="shared" ca="1" si="120"/>
        <v>295.10173079363108</v>
      </c>
      <c r="Y283" s="314" t="str">
        <f t="shared" ca="1" si="138"/>
        <v/>
      </c>
      <c r="Z283" s="315" t="str">
        <f t="shared" ca="1" si="139"/>
        <v/>
      </c>
      <c r="AA283" s="316" t="str">
        <f t="shared" ca="1" si="140"/>
        <v/>
      </c>
      <c r="AC283" s="310" t="e">
        <f t="shared" ca="1" si="141"/>
        <v>#N/A</v>
      </c>
      <c r="AD283" s="323" t="e">
        <f t="shared" ca="1" si="142"/>
        <v>#N/A</v>
      </c>
      <c r="AE283" s="324">
        <f t="shared" ca="1" si="121"/>
        <v>257.06405797173414</v>
      </c>
      <c r="AG283" s="306">
        <f t="shared" ca="1" si="143"/>
        <v>84.025703533122467</v>
      </c>
      <c r="AH283" s="304">
        <f t="shared" ca="1" si="144"/>
        <v>93.248355347642018</v>
      </c>
    </row>
    <row r="284" spans="1:34" x14ac:dyDescent="0.2">
      <c r="A284" s="347">
        <f t="shared" ca="1" si="122"/>
        <v>0.01</v>
      </c>
      <c r="B284" s="304">
        <f t="shared" ca="1" si="123"/>
        <v>2.7999999999999843</v>
      </c>
      <c r="D284" s="306">
        <f t="shared" ca="1" si="124"/>
        <v>31.780576308774343</v>
      </c>
      <c r="E284" s="307">
        <f t="shared" ca="1" si="125"/>
        <v>77.80936019358046</v>
      </c>
      <c r="F284" s="304">
        <f t="shared" ca="1" si="126"/>
        <v>84.049399547243482</v>
      </c>
      <c r="G284" s="306">
        <f t="shared" ca="1" si="127"/>
        <v>70.529558208242761</v>
      </c>
      <c r="H284" s="307">
        <f t="shared" ca="1" si="128"/>
        <v>194.35258286052272</v>
      </c>
      <c r="I284" s="304">
        <f t="shared" ca="1" si="129"/>
        <v>206.75431082714152</v>
      </c>
      <c r="J284" s="306">
        <f t="shared" ca="1" si="130"/>
        <v>87.897980021786822</v>
      </c>
      <c r="K284" s="307">
        <f t="shared" ca="1" si="131"/>
        <v>259.0036933323297</v>
      </c>
      <c r="L284" s="304">
        <f t="shared" ca="1" si="116"/>
        <v>273.51228135441733</v>
      </c>
      <c r="M284" s="306">
        <f t="shared" ca="1" si="132"/>
        <v>1.2226803616914903</v>
      </c>
      <c r="N284" s="304">
        <f t="shared" ca="1" si="133"/>
        <v>70.054424418451376</v>
      </c>
      <c r="P284" s="310">
        <f t="shared" ca="1" si="134"/>
        <v>11</v>
      </c>
      <c r="Q284" s="304">
        <f t="shared" ca="1" si="135"/>
        <v>2199.3072184249627</v>
      </c>
      <c r="R284" s="306">
        <f t="shared" ca="1" si="136"/>
        <v>1.3226064799126553</v>
      </c>
      <c r="S284" s="307">
        <f t="shared" ca="1" si="137"/>
        <v>20.430310608242042</v>
      </c>
      <c r="T284" s="304">
        <f t="shared" ca="1" si="117"/>
        <v>200.42134706685445</v>
      </c>
      <c r="U284" s="311">
        <f t="shared" ca="1" si="118"/>
        <v>0</v>
      </c>
      <c r="V284" s="306">
        <f t="shared" ca="1" si="119"/>
        <v>1.1936776774282809</v>
      </c>
      <c r="W284" s="304">
        <f t="shared" ca="1" si="120"/>
        <v>297.45609835510021</v>
      </c>
      <c r="Y284" s="314" t="str">
        <f t="shared" ca="1" si="138"/>
        <v/>
      </c>
      <c r="Z284" s="315" t="str">
        <f t="shared" ca="1" si="139"/>
        <v/>
      </c>
      <c r="AA284" s="316" t="str">
        <f t="shared" ca="1" si="140"/>
        <v/>
      </c>
      <c r="AC284" s="310" t="e">
        <f t="shared" ca="1" si="141"/>
        <v>#N/A</v>
      </c>
      <c r="AD284" s="323" t="e">
        <f t="shared" ca="1" si="142"/>
        <v>#N/A</v>
      </c>
      <c r="AE284" s="324">
        <f t="shared" ca="1" si="121"/>
        <v>259.0036933323297</v>
      </c>
      <c r="AG284" s="306">
        <f t="shared" ca="1" si="143"/>
        <v>83.982812260086973</v>
      </c>
      <c r="AH284" s="304">
        <f t="shared" ca="1" si="144"/>
        <v>93.204921067775288</v>
      </c>
    </row>
    <row r="285" spans="1:34" x14ac:dyDescent="0.2">
      <c r="A285" s="347">
        <f t="shared" ca="1" si="122"/>
        <v>0.01</v>
      </c>
      <c r="B285" s="304">
        <f t="shared" ca="1" si="123"/>
        <v>2.8099999999999841</v>
      </c>
      <c r="D285" s="306">
        <f t="shared" ca="1" si="124"/>
        <v>31.77979331658571</v>
      </c>
      <c r="E285" s="307">
        <f t="shared" ca="1" si="125"/>
        <v>77.762998764795398</v>
      </c>
      <c r="F285" s="304">
        <f t="shared" ca="1" si="126"/>
        <v>84.006185725448077</v>
      </c>
      <c r="G285" s="306">
        <f t="shared" ca="1" si="127"/>
        <v>70.847356141408625</v>
      </c>
      <c r="H285" s="307">
        <f t="shared" ca="1" si="128"/>
        <v>195.13021284817066</v>
      </c>
      <c r="I285" s="304">
        <f t="shared" ca="1" si="129"/>
        <v>207.59370857133408</v>
      </c>
      <c r="J285" s="306">
        <f t="shared" ca="1" si="130"/>
        <v>88.604864593535083</v>
      </c>
      <c r="K285" s="307">
        <f t="shared" ca="1" si="131"/>
        <v>260.95110731087317</v>
      </c>
      <c r="L285" s="304">
        <f t="shared" ca="1" si="116"/>
        <v>275.58356706525433</v>
      </c>
      <c r="M285" s="306">
        <f t="shared" ca="1" si="132"/>
        <v>1.2225191593254263</v>
      </c>
      <c r="N285" s="304">
        <f t="shared" ca="1" si="133"/>
        <v>70.045188203228392</v>
      </c>
      <c r="P285" s="310">
        <f t="shared" ca="1" si="134"/>
        <v>11</v>
      </c>
      <c r="Q285" s="304">
        <f t="shared" ca="1" si="135"/>
        <v>2199.533459138187</v>
      </c>
      <c r="R285" s="306">
        <f t="shared" ca="1" si="136"/>
        <v>1.3227425352262667</v>
      </c>
      <c r="S285" s="307">
        <f t="shared" ca="1" si="137"/>
        <v>20.41708318288978</v>
      </c>
      <c r="T285" s="304">
        <f t="shared" ca="1" si="117"/>
        <v>200.29158602414876</v>
      </c>
      <c r="U285" s="311">
        <f t="shared" ca="1" si="118"/>
        <v>0</v>
      </c>
      <c r="V285" s="306">
        <f t="shared" ca="1" si="119"/>
        <v>1.1934452023241424</v>
      </c>
      <c r="W285" s="304">
        <f t="shared" ca="1" si="120"/>
        <v>299.81787098802897</v>
      </c>
      <c r="Y285" s="314" t="str">
        <f t="shared" ca="1" si="138"/>
        <v/>
      </c>
      <c r="Z285" s="315" t="str">
        <f t="shared" ca="1" si="139"/>
        <v/>
      </c>
      <c r="AA285" s="316" t="str">
        <f t="shared" ca="1" si="140"/>
        <v/>
      </c>
      <c r="AC285" s="310" t="e">
        <f t="shared" ca="1" si="141"/>
        <v>#N/A</v>
      </c>
      <c r="AD285" s="323" t="e">
        <f t="shared" ca="1" si="142"/>
        <v>#N/A</v>
      </c>
      <c r="AE285" s="324">
        <f t="shared" ca="1" si="121"/>
        <v>260.95110731087317</v>
      </c>
      <c r="AG285" s="306">
        <f t="shared" ca="1" si="143"/>
        <v>83.939504690643844</v>
      </c>
      <c r="AH285" s="304">
        <f t="shared" ca="1" si="144"/>
        <v>93.161072213150078</v>
      </c>
    </row>
    <row r="286" spans="1:34" x14ac:dyDescent="0.2">
      <c r="A286" s="347">
        <f t="shared" ca="1" si="122"/>
        <v>0.01</v>
      </c>
      <c r="B286" s="304">
        <f t="shared" ca="1" si="123"/>
        <v>2.8199999999999839</v>
      </c>
      <c r="D286" s="306">
        <f t="shared" ca="1" si="124"/>
        <v>31.778804046294034</v>
      </c>
      <c r="E286" s="307">
        <f t="shared" ca="1" si="125"/>
        <v>77.716269649875045</v>
      </c>
      <c r="F286" s="304">
        <f t="shared" ca="1" si="126"/>
        <v>83.962556862597054</v>
      </c>
      <c r="G286" s="306">
        <f t="shared" ca="1" si="127"/>
        <v>71.165144181871568</v>
      </c>
      <c r="H286" s="307">
        <f t="shared" ca="1" si="128"/>
        <v>195.90737554466941</v>
      </c>
      <c r="I286" s="304">
        <f t="shared" ca="1" si="129"/>
        <v>208.43266907859407</v>
      </c>
      <c r="J286" s="306">
        <f t="shared" ca="1" si="130"/>
        <v>89.314927095151489</v>
      </c>
      <c r="K286" s="307">
        <f t="shared" ca="1" si="131"/>
        <v>262.90629525283737</v>
      </c>
      <c r="L286" s="304">
        <f t="shared" ca="1" si="116"/>
        <v>277.66324258998401</v>
      </c>
      <c r="M286" s="306">
        <f t="shared" ca="1" si="132"/>
        <v>1.2223585344958403</v>
      </c>
      <c r="N286" s="304">
        <f t="shared" ca="1" si="133"/>
        <v>70.035985078408103</v>
      </c>
      <c r="P286" s="310">
        <f t="shared" ca="1" si="134"/>
        <v>11</v>
      </c>
      <c r="Q286" s="304">
        <f t="shared" ca="1" si="135"/>
        <v>2199.7596998514114</v>
      </c>
      <c r="R286" s="306">
        <f t="shared" ca="1" si="136"/>
        <v>1.3228785905398781</v>
      </c>
      <c r="S286" s="307">
        <f t="shared" ca="1" si="137"/>
        <v>20.403854396984382</v>
      </c>
      <c r="T286" s="304">
        <f t="shared" ca="1" si="117"/>
        <v>200.16181163441681</v>
      </c>
      <c r="U286" s="311">
        <f t="shared" ca="1" si="118"/>
        <v>0</v>
      </c>
      <c r="V286" s="306">
        <f t="shared" ca="1" si="119"/>
        <v>1.1932118441459529</v>
      </c>
      <c r="W286" s="304">
        <f t="shared" ca="1" si="120"/>
        <v>302.18701137062277</v>
      </c>
      <c r="Y286" s="314" t="str">
        <f t="shared" ca="1" si="138"/>
        <v/>
      </c>
      <c r="Z286" s="315" t="str">
        <f t="shared" ca="1" si="139"/>
        <v/>
      </c>
      <c r="AA286" s="316" t="str">
        <f t="shared" ca="1" si="140"/>
        <v/>
      </c>
      <c r="AC286" s="310" t="e">
        <f t="shared" ca="1" si="141"/>
        <v>#N/A</v>
      </c>
      <c r="AD286" s="323" t="e">
        <f t="shared" ca="1" si="142"/>
        <v>#N/A</v>
      </c>
      <c r="AE286" s="324">
        <f t="shared" ca="1" si="121"/>
        <v>262.90629525283737</v>
      </c>
      <c r="AG286" s="306">
        <f t="shared" ca="1" si="143"/>
        <v>83.895781844357515</v>
      </c>
      <c r="AH286" s="304">
        <f t="shared" ca="1" si="144"/>
        <v>93.116809789830057</v>
      </c>
    </row>
    <row r="287" spans="1:34" x14ac:dyDescent="0.2">
      <c r="A287" s="347">
        <f t="shared" ca="1" si="122"/>
        <v>0.01</v>
      </c>
      <c r="B287" s="304">
        <f t="shared" ca="1" si="123"/>
        <v>2.8299999999999836</v>
      </c>
      <c r="D287" s="306">
        <f t="shared" ca="1" si="124"/>
        <v>31.777609156275695</v>
      </c>
      <c r="E287" s="307">
        <f t="shared" ca="1" si="125"/>
        <v>77.669173722746251</v>
      </c>
      <c r="F287" s="304">
        <f t="shared" ca="1" si="126"/>
        <v>83.918513991032711</v>
      </c>
      <c r="G287" s="306">
        <f t="shared" ca="1" si="127"/>
        <v>71.482920273434331</v>
      </c>
      <c r="H287" s="307">
        <f t="shared" ca="1" si="128"/>
        <v>196.68406728189686</v>
      </c>
      <c r="I287" s="304">
        <f t="shared" ca="1" si="129"/>
        <v>209.27118820651805</v>
      </c>
      <c r="J287" s="306">
        <f t="shared" ca="1" si="130"/>
        <v>90.028167417428023</v>
      </c>
      <c r="K287" s="307">
        <f t="shared" ca="1" si="131"/>
        <v>264.86925246697018</v>
      </c>
      <c r="L287" s="304">
        <f t="shared" ca="1" si="116"/>
        <v>279.75130353753855</v>
      </c>
      <c r="M287" s="306">
        <f t="shared" ca="1" si="132"/>
        <v>1.2221984824931473</v>
      </c>
      <c r="N287" s="304">
        <f t="shared" ca="1" si="133"/>
        <v>70.026814774151177</v>
      </c>
      <c r="P287" s="310">
        <f t="shared" ca="1" si="134"/>
        <v>11</v>
      </c>
      <c r="Q287" s="304">
        <f t="shared" ca="1" si="135"/>
        <v>2199.9859405646357</v>
      </c>
      <c r="R287" s="306">
        <f t="shared" ca="1" si="136"/>
        <v>1.3230146458534895</v>
      </c>
      <c r="S287" s="307">
        <f t="shared" ca="1" si="137"/>
        <v>20.390624250525846</v>
      </c>
      <c r="T287" s="304">
        <f t="shared" ca="1" si="117"/>
        <v>200.03202389765855</v>
      </c>
      <c r="U287" s="311">
        <f t="shared" ca="1" si="118"/>
        <v>0</v>
      </c>
      <c r="V287" s="306">
        <f t="shared" ca="1" si="119"/>
        <v>1.1929776039776283</v>
      </c>
      <c r="W287" s="304">
        <f t="shared" ca="1" si="120"/>
        <v>304.56348201874738</v>
      </c>
      <c r="Y287" s="314" t="str">
        <f t="shared" ca="1" si="138"/>
        <v/>
      </c>
      <c r="Z287" s="315" t="str">
        <f t="shared" ca="1" si="139"/>
        <v/>
      </c>
      <c r="AA287" s="316" t="str">
        <f t="shared" ca="1" si="140"/>
        <v/>
      </c>
      <c r="AC287" s="310" t="e">
        <f t="shared" ca="1" si="141"/>
        <v>#N/A</v>
      </c>
      <c r="AD287" s="323" t="e">
        <f t="shared" ca="1" si="142"/>
        <v>#N/A</v>
      </c>
      <c r="AE287" s="324">
        <f t="shared" ca="1" si="121"/>
        <v>264.86925246697018</v>
      </c>
      <c r="AG287" s="306">
        <f t="shared" ca="1" si="143"/>
        <v>83.851644751128234</v>
      </c>
      <c r="AH287" s="304">
        <f t="shared" ca="1" si="144"/>
        <v>93.07213481436554</v>
      </c>
    </row>
    <row r="288" spans="1:34" x14ac:dyDescent="0.2">
      <c r="A288" s="347">
        <f t="shared" ca="1" si="122"/>
        <v>0.01</v>
      </c>
      <c r="B288" s="304">
        <f t="shared" ca="1" si="123"/>
        <v>2.8399999999999834</v>
      </c>
      <c r="D288" s="306">
        <f t="shared" ca="1" si="124"/>
        <v>31.776209304656966</v>
      </c>
      <c r="E288" s="307">
        <f t="shared" ca="1" si="125"/>
        <v>77.621711868149134</v>
      </c>
      <c r="F288" s="304">
        <f t="shared" ca="1" si="126"/>
        <v>83.87405815337263</v>
      </c>
      <c r="G288" s="306">
        <f t="shared" ca="1" si="127"/>
        <v>71.800682366480899</v>
      </c>
      <c r="H288" s="307">
        <f t="shared" ca="1" si="128"/>
        <v>197.46028440057836</v>
      </c>
      <c r="I288" s="304">
        <f t="shared" ca="1" si="129"/>
        <v>210.10926182310376</v>
      </c>
      <c r="J288" s="306">
        <f t="shared" ca="1" si="130"/>
        <v>90.744585430627595</v>
      </c>
      <c r="K288" s="307">
        <f t="shared" ca="1" si="131"/>
        <v>266.83997422538255</v>
      </c>
      <c r="L288" s="304">
        <f t="shared" ca="1" si="116"/>
        <v>281.84774547542384</v>
      </c>
      <c r="M288" s="306">
        <f t="shared" ca="1" si="132"/>
        <v>1.2220389986625126</v>
      </c>
      <c r="N288" s="304">
        <f t="shared" ca="1" si="133"/>
        <v>70.017677023755226</v>
      </c>
      <c r="P288" s="310">
        <f t="shared" ca="1" si="134"/>
        <v>11</v>
      </c>
      <c r="Q288" s="304">
        <f t="shared" ca="1" si="135"/>
        <v>2200.2121812778601</v>
      </c>
      <c r="R288" s="306">
        <f t="shared" ca="1" si="136"/>
        <v>1.3231507011671009</v>
      </c>
      <c r="S288" s="307">
        <f t="shared" ca="1" si="137"/>
        <v>20.377392743514175</v>
      </c>
      <c r="T288" s="304">
        <f t="shared" ca="1" si="117"/>
        <v>199.90222281387406</v>
      </c>
      <c r="U288" s="311">
        <f t="shared" ca="1" si="118"/>
        <v>0</v>
      </c>
      <c r="V288" s="306">
        <f t="shared" ca="1" si="119"/>
        <v>1.1927424829088495</v>
      </c>
      <c r="W288" s="304">
        <f t="shared" ca="1" si="120"/>
        <v>306.94724528756984</v>
      </c>
      <c r="Y288" s="314" t="str">
        <f t="shared" ca="1" si="138"/>
        <v/>
      </c>
      <c r="Z288" s="315" t="str">
        <f t="shared" ca="1" si="139"/>
        <v/>
      </c>
      <c r="AA288" s="316" t="str">
        <f t="shared" ca="1" si="140"/>
        <v/>
      </c>
      <c r="AC288" s="310" t="e">
        <f t="shared" ca="1" si="141"/>
        <v>#N/A</v>
      </c>
      <c r="AD288" s="323" t="e">
        <f t="shared" ca="1" si="142"/>
        <v>#N/A</v>
      </c>
      <c r="AE288" s="324">
        <f t="shared" ca="1" si="121"/>
        <v>266.83997422538255</v>
      </c>
      <c r="AG288" s="306">
        <f t="shared" ca="1" si="143"/>
        <v>83.807094451148885</v>
      </c>
      <c r="AH288" s="304">
        <f t="shared" ca="1" si="144"/>
        <v>93.027048313748082</v>
      </c>
    </row>
    <row r="289" spans="1:34" x14ac:dyDescent="0.2">
      <c r="A289" s="347">
        <f t="shared" ca="1" si="122"/>
        <v>0.01</v>
      </c>
      <c r="B289" s="304">
        <f t="shared" ca="1" si="123"/>
        <v>2.8499999999999832</v>
      </c>
      <c r="D289" s="306">
        <f t="shared" ca="1" si="124"/>
        <v>31.774605149371975</v>
      </c>
      <c r="E289" s="307">
        <f t="shared" ca="1" si="125"/>
        <v>77.573884981573684</v>
      </c>
      <c r="F289" s="304">
        <f t="shared" ca="1" si="126"/>
        <v>83.829190402466125</v>
      </c>
      <c r="G289" s="306">
        <f t="shared" ca="1" si="127"/>
        <v>72.118428417974613</v>
      </c>
      <c r="H289" s="307">
        <f t="shared" ca="1" si="128"/>
        <v>198.23602325039408</v>
      </c>
      <c r="I289" s="304">
        <f t="shared" ca="1" si="129"/>
        <v>210.94688580685261</v>
      </c>
      <c r="J289" s="306">
        <f t="shared" ca="1" si="130"/>
        <v>91.46418098454987</v>
      </c>
      <c r="K289" s="307">
        <f t="shared" ca="1" si="131"/>
        <v>268.81845576363742</v>
      </c>
      <c r="L289" s="304">
        <f t="shared" ca="1" si="116"/>
        <v>283.95256392982469</v>
      </c>
      <c r="M289" s="306">
        <f t="shared" ca="1" si="132"/>
        <v>1.2218800784029999</v>
      </c>
      <c r="N289" s="304">
        <f t="shared" ca="1" si="133"/>
        <v>70.008571563606026</v>
      </c>
      <c r="P289" s="310">
        <f t="shared" ca="1" si="134"/>
        <v>11</v>
      </c>
      <c r="Q289" s="304">
        <f t="shared" ca="1" si="135"/>
        <v>2200.4384219910844</v>
      </c>
      <c r="R289" s="306">
        <f t="shared" ca="1" si="136"/>
        <v>1.3232867564807123</v>
      </c>
      <c r="S289" s="307">
        <f t="shared" ca="1" si="137"/>
        <v>20.364159875949369</v>
      </c>
      <c r="T289" s="304">
        <f t="shared" ca="1" si="117"/>
        <v>199.77240838306332</v>
      </c>
      <c r="U289" s="311">
        <f t="shared" ca="1" si="118"/>
        <v>0</v>
      </c>
      <c r="V289" s="306">
        <f t="shared" ca="1" si="119"/>
        <v>1.192506482035038</v>
      </c>
      <c r="W289" s="304">
        <f t="shared" ca="1" si="120"/>
        <v>309.33826337320477</v>
      </c>
      <c r="Y289" s="314" t="str">
        <f t="shared" ca="1" si="138"/>
        <v/>
      </c>
      <c r="Z289" s="315" t="str">
        <f t="shared" ca="1" si="139"/>
        <v/>
      </c>
      <c r="AA289" s="316" t="str">
        <f t="shared" ca="1" si="140"/>
        <v/>
      </c>
      <c r="AC289" s="310" t="e">
        <f t="shared" ca="1" si="141"/>
        <v>#N/A</v>
      </c>
      <c r="AD289" s="323" t="e">
        <f t="shared" ca="1" si="142"/>
        <v>#N/A</v>
      </c>
      <c r="AE289" s="324">
        <f t="shared" ca="1" si="121"/>
        <v>268.81845576363742</v>
      </c>
      <c r="AG289" s="306">
        <f t="shared" ca="1" si="143"/>
        <v>83.762131994861335</v>
      </c>
      <c r="AH289" s="304">
        <f t="shared" ca="1" si="144"/>
        <v>92.981551325364507</v>
      </c>
    </row>
    <row r="290" spans="1:34" x14ac:dyDescent="0.2">
      <c r="A290" s="347">
        <f t="shared" ca="1" si="122"/>
        <v>0.01</v>
      </c>
      <c r="B290" s="304">
        <f t="shared" ca="1" si="123"/>
        <v>2.859999999999983</v>
      </c>
      <c r="D290" s="306">
        <f t="shared" ca="1" si="124"/>
        <v>31.772797348219047</v>
      </c>
      <c r="E290" s="307">
        <f t="shared" ca="1" si="125"/>
        <v>77.525693969196169</v>
      </c>
      <c r="F290" s="304">
        <f t="shared" ca="1" si="126"/>
        <v>83.783911801350357</v>
      </c>
      <c r="G290" s="306">
        <f t="shared" ca="1" si="127"/>
        <v>72.436156391456805</v>
      </c>
      <c r="H290" s="307">
        <f t="shared" ca="1" si="128"/>
        <v>199.01128019008604</v>
      </c>
      <c r="I290" s="304">
        <f t="shared" ca="1" si="129"/>
        <v>211.78405604687177</v>
      </c>
      <c r="J290" s="306">
        <f t="shared" ca="1" si="130"/>
        <v>92.186953908597033</v>
      </c>
      <c r="K290" s="307">
        <f t="shared" ca="1" si="131"/>
        <v>270.80469228083984</v>
      </c>
      <c r="L290" s="304">
        <f t="shared" ca="1" si="116"/>
        <v>286.06575438571139</v>
      </c>
      <c r="M290" s="306">
        <f t="shared" ca="1" si="132"/>
        <v>1.2217217171667356</v>
      </c>
      <c r="N290" s="304">
        <f t="shared" ca="1" si="133"/>
        <v>69.999498133129606</v>
      </c>
      <c r="P290" s="310">
        <f t="shared" ca="1" si="134"/>
        <v>11</v>
      </c>
      <c r="Q290" s="304">
        <f t="shared" ca="1" si="135"/>
        <v>2200.6646627043087</v>
      </c>
      <c r="R290" s="306">
        <f t="shared" ca="1" si="136"/>
        <v>1.3234228117943236</v>
      </c>
      <c r="S290" s="307">
        <f t="shared" ca="1" si="137"/>
        <v>20.350925647831424</v>
      </c>
      <c r="T290" s="304">
        <f t="shared" ca="1" si="117"/>
        <v>199.64258060522627</v>
      </c>
      <c r="U290" s="311">
        <f t="shared" ca="1" si="118"/>
        <v>0</v>
      </c>
      <c r="V290" s="306">
        <f t="shared" ca="1" si="119"/>
        <v>1.1922696024573358</v>
      </c>
      <c r="W290" s="304">
        <f t="shared" ca="1" si="120"/>
        <v>311.73649831437069</v>
      </c>
      <c r="Y290" s="314" t="str">
        <f t="shared" ca="1" si="138"/>
        <v/>
      </c>
      <c r="Z290" s="315" t="str">
        <f t="shared" ca="1" si="139"/>
        <v/>
      </c>
      <c r="AA290" s="316" t="str">
        <f t="shared" ca="1" si="140"/>
        <v/>
      </c>
      <c r="AC290" s="310" t="e">
        <f t="shared" ca="1" si="141"/>
        <v>#N/A</v>
      </c>
      <c r="AD290" s="323" t="e">
        <f t="shared" ca="1" si="142"/>
        <v>#N/A</v>
      </c>
      <c r="AE290" s="324">
        <f t="shared" ca="1" si="121"/>
        <v>270.80469228083984</v>
      </c>
      <c r="AG290" s="306">
        <f t="shared" ca="1" si="143"/>
        <v>83.71675844291218</v>
      </c>
      <c r="AH290" s="304">
        <f t="shared" ca="1" si="144"/>
        <v>92.935644896950521</v>
      </c>
    </row>
    <row r="291" spans="1:34" x14ac:dyDescent="0.2">
      <c r="A291" s="347">
        <f t="shared" ca="1" si="122"/>
        <v>0.01</v>
      </c>
      <c r="B291" s="304">
        <f t="shared" ca="1" si="123"/>
        <v>2.8699999999999828</v>
      </c>
      <c r="D291" s="306">
        <f t="shared" ca="1" si="124"/>
        <v>31.770786558915354</v>
      </c>
      <c r="E291" s="307">
        <f t="shared" ca="1" si="125"/>
        <v>77.47713974781567</v>
      </c>
      <c r="F291" s="304">
        <f t="shared" ca="1" si="126"/>
        <v>83.738223423205696</v>
      </c>
      <c r="G291" s="306">
        <f t="shared" ca="1" si="127"/>
        <v>72.753864257045961</v>
      </c>
      <c r="H291" s="307">
        <f t="shared" ca="1" si="128"/>
        <v>199.7860515875642</v>
      </c>
      <c r="I291" s="304">
        <f t="shared" ca="1" si="129"/>
        <v>212.62076844297582</v>
      </c>
      <c r="J291" s="306">
        <f t="shared" ca="1" si="130"/>
        <v>92.912904011839544</v>
      </c>
      <c r="K291" s="307">
        <f t="shared" ca="1" si="131"/>
        <v>272.79867893972812</v>
      </c>
      <c r="L291" s="304">
        <f t="shared" ca="1" si="116"/>
        <v>288.18731228694674</v>
      </c>
      <c r="M291" s="306">
        <f t="shared" ca="1" si="132"/>
        <v>1.2215639104580902</v>
      </c>
      <c r="N291" s="304">
        <f t="shared" ca="1" si="133"/>
        <v>69.990456474745372</v>
      </c>
      <c r="P291" s="310">
        <f t="shared" ca="1" si="134"/>
        <v>11</v>
      </c>
      <c r="Q291" s="304">
        <f t="shared" ca="1" si="135"/>
        <v>2200.8909034175331</v>
      </c>
      <c r="R291" s="306">
        <f t="shared" ca="1" si="136"/>
        <v>1.323558867107935</v>
      </c>
      <c r="S291" s="307">
        <f t="shared" ca="1" si="137"/>
        <v>20.337690059160344</v>
      </c>
      <c r="T291" s="304">
        <f t="shared" ca="1" si="117"/>
        <v>199.512739480363</v>
      </c>
      <c r="U291" s="311">
        <f t="shared" ca="1" si="118"/>
        <v>0</v>
      </c>
      <c r="V291" s="306">
        <f t="shared" ca="1" si="119"/>
        <v>1.1920318452825829</v>
      </c>
      <c r="W291" s="304">
        <f t="shared" ca="1" si="120"/>
        <v>314.14191199405184</v>
      </c>
      <c r="Y291" s="314" t="str">
        <f t="shared" ca="1" si="138"/>
        <v/>
      </c>
      <c r="Z291" s="315" t="str">
        <f t="shared" ca="1" si="139"/>
        <v/>
      </c>
      <c r="AA291" s="316" t="str">
        <f t="shared" ca="1" si="140"/>
        <v/>
      </c>
      <c r="AC291" s="310" t="e">
        <f t="shared" ca="1" si="141"/>
        <v>#N/A</v>
      </c>
      <c r="AD291" s="323" t="e">
        <f t="shared" ca="1" si="142"/>
        <v>#N/A</v>
      </c>
      <c r="AE291" s="324">
        <f t="shared" ca="1" si="121"/>
        <v>272.79867893972812</v>
      </c>
      <c r="AG291" s="306">
        <f t="shared" ca="1" si="143"/>
        <v>83.670974866107855</v>
      </c>
      <c r="AH291" s="304">
        <f t="shared" ca="1" si="144"/>
        <v>92.889330086543637</v>
      </c>
    </row>
    <row r="292" spans="1:34" x14ac:dyDescent="0.2">
      <c r="A292" s="347">
        <f t="shared" ca="1" si="122"/>
        <v>0.01</v>
      </c>
      <c r="B292" s="304">
        <f t="shared" ca="1" si="123"/>
        <v>2.8799999999999826</v>
      </c>
      <c r="D292" s="306">
        <f t="shared" ca="1" si="124"/>
        <v>31.768573439149957</v>
      </c>
      <c r="E292" s="307">
        <f t="shared" ca="1" si="125"/>
        <v>77.428223244790189</v>
      </c>
      <c r="F292" s="304">
        <f t="shared" ca="1" si="126"/>
        <v>83.692126351310563</v>
      </c>
      <c r="G292" s="306">
        <f t="shared" ca="1" si="127"/>
        <v>73.071549991437465</v>
      </c>
      <c r="H292" s="307">
        <f t="shared" ca="1" si="128"/>
        <v>200.56033382001209</v>
      </c>
      <c r="I292" s="304">
        <f t="shared" ca="1" si="129"/>
        <v>213.45701890578775</v>
      </c>
      <c r="J292" s="306">
        <f t="shared" ca="1" si="130"/>
        <v>93.64203108308196</v>
      </c>
      <c r="K292" s="307">
        <f t="shared" ca="1" si="131"/>
        <v>274.80041086676601</v>
      </c>
      <c r="L292" s="304">
        <f t="shared" ca="1" si="116"/>
        <v>290.31723303639467</v>
      </c>
      <c r="M292" s="306">
        <f t="shared" ca="1" si="132"/>
        <v>1.2214066538328736</v>
      </c>
      <c r="N292" s="304">
        <f t="shared" ca="1" si="133"/>
        <v>69.981446333819989</v>
      </c>
      <c r="P292" s="310">
        <f t="shared" ca="1" si="134"/>
        <v>11</v>
      </c>
      <c r="Q292" s="304">
        <f t="shared" ca="1" si="135"/>
        <v>2201.1171441307574</v>
      </c>
      <c r="R292" s="306">
        <f t="shared" ca="1" si="136"/>
        <v>1.3236949224215464</v>
      </c>
      <c r="S292" s="307">
        <f t="shared" ca="1" si="137"/>
        <v>20.32445310993613</v>
      </c>
      <c r="T292" s="304">
        <f t="shared" ca="1" si="117"/>
        <v>199.38288500847344</v>
      </c>
      <c r="U292" s="311">
        <f t="shared" ca="1" si="118"/>
        <v>0</v>
      </c>
      <c r="V292" s="306">
        <f t="shared" ca="1" si="119"/>
        <v>1.1917932116232954</v>
      </c>
      <c r="W292" s="304">
        <f t="shared" ca="1" si="120"/>
        <v>316.5544661411675</v>
      </c>
      <c r="Y292" s="314" t="str">
        <f t="shared" ca="1" si="138"/>
        <v/>
      </c>
      <c r="Z292" s="315" t="str">
        <f t="shared" ca="1" si="139"/>
        <v/>
      </c>
      <c r="AA292" s="316" t="str">
        <f t="shared" ca="1" si="140"/>
        <v/>
      </c>
      <c r="AC292" s="310" t="e">
        <f t="shared" ca="1" si="141"/>
        <v>#N/A</v>
      </c>
      <c r="AD292" s="323" t="e">
        <f t="shared" ca="1" si="142"/>
        <v>#N/A</v>
      </c>
      <c r="AE292" s="324">
        <f t="shared" ca="1" si="121"/>
        <v>274.80041086676601</v>
      </c>
      <c r="AG292" s="306">
        <f t="shared" ca="1" si="143"/>
        <v>83.624782345369226</v>
      </c>
      <c r="AH292" s="304">
        <f t="shared" ca="1" si="144"/>
        <v>92.842607962435622</v>
      </c>
    </row>
    <row r="293" spans="1:34" x14ac:dyDescent="0.2">
      <c r="A293" s="347">
        <f t="shared" ca="1" si="122"/>
        <v>0.01</v>
      </c>
      <c r="B293" s="304">
        <f t="shared" ca="1" si="123"/>
        <v>2.8899999999999824</v>
      </c>
      <c r="D293" s="306">
        <f t="shared" ca="1" si="124"/>
        <v>31.766158646635503</v>
      </c>
      <c r="E293" s="307">
        <f t="shared" ca="1" si="125"/>
        <v>77.378945397972771</v>
      </c>
      <c r="F293" s="304">
        <f t="shared" ca="1" si="126"/>
        <v>83.645621678995653</v>
      </c>
      <c r="G293" s="306">
        <f t="shared" ca="1" si="127"/>
        <v>73.389211577903822</v>
      </c>
      <c r="H293" s="307">
        <f t="shared" ca="1" si="128"/>
        <v>201.33412327399182</v>
      </c>
      <c r="I293" s="304">
        <f t="shared" ca="1" si="129"/>
        <v>214.29280335683993</v>
      </c>
      <c r="J293" s="306">
        <f t="shared" ca="1" si="130"/>
        <v>94.374334890928665</v>
      </c>
      <c r="K293" s="307">
        <f t="shared" ca="1" si="131"/>
        <v>276.80988315223601</v>
      </c>
      <c r="L293" s="304">
        <f t="shared" ca="1" si="116"/>
        <v>292.45551199602943</v>
      </c>
      <c r="M293" s="306">
        <f t="shared" ca="1" si="132"/>
        <v>1.2212499428975492</v>
      </c>
      <c r="N293" s="304">
        <f t="shared" ca="1" si="133"/>
        <v>69.972467458622361</v>
      </c>
      <c r="P293" s="310">
        <f t="shared" ca="1" si="134"/>
        <v>11</v>
      </c>
      <c r="Q293" s="304">
        <f t="shared" ca="1" si="135"/>
        <v>2201.3433848439818</v>
      </c>
      <c r="R293" s="306">
        <f t="shared" ca="1" si="136"/>
        <v>1.3238309777351578</v>
      </c>
      <c r="S293" s="307">
        <f t="shared" ca="1" si="137"/>
        <v>20.31121480015878</v>
      </c>
      <c r="T293" s="304">
        <f t="shared" ca="1" si="117"/>
        <v>199.25301718955765</v>
      </c>
      <c r="U293" s="311">
        <f t="shared" ca="1" si="118"/>
        <v>0</v>
      </c>
      <c r="V293" s="306">
        <f t="shared" ca="1" si="119"/>
        <v>1.1915537025976422</v>
      </c>
      <c r="W293" s="304">
        <f t="shared" ca="1" si="120"/>
        <v>318.97412233224867</v>
      </c>
      <c r="Y293" s="314" t="str">
        <f t="shared" ca="1" si="138"/>
        <v/>
      </c>
      <c r="Z293" s="315" t="str">
        <f t="shared" ca="1" si="139"/>
        <v/>
      </c>
      <c r="AA293" s="316" t="str">
        <f t="shared" ca="1" si="140"/>
        <v/>
      </c>
      <c r="AC293" s="310" t="e">
        <f t="shared" ca="1" si="141"/>
        <v>#N/A</v>
      </c>
      <c r="AD293" s="323" t="e">
        <f t="shared" ca="1" si="142"/>
        <v>#N/A</v>
      </c>
      <c r="AE293" s="324">
        <f t="shared" ca="1" si="121"/>
        <v>276.80988315223601</v>
      </c>
      <c r="AG293" s="306">
        <f t="shared" ca="1" si="143"/>
        <v>83.578181971685623</v>
      </c>
      <c r="AH293" s="304">
        <f t="shared" ca="1" si="144"/>
        <v>92.795479603124491</v>
      </c>
    </row>
    <row r="294" spans="1:34" x14ac:dyDescent="0.2">
      <c r="A294" s="347">
        <f t="shared" ca="1" si="122"/>
        <v>0.01</v>
      </c>
      <c r="B294" s="304">
        <f t="shared" ca="1" si="123"/>
        <v>2.8999999999999821</v>
      </c>
      <c r="D294" s="306">
        <f t="shared" ca="1" si="124"/>
        <v>31.763542839158085</v>
      </c>
      <c r="E294" s="307">
        <f t="shared" ca="1" si="125"/>
        <v>77.329307155647641</v>
      </c>
      <c r="F294" s="304">
        <f t="shared" ca="1" si="126"/>
        <v>83.598710509597751</v>
      </c>
      <c r="G294" s="306">
        <f t="shared" ca="1" si="127"/>
        <v>73.706847006295405</v>
      </c>
      <c r="H294" s="307">
        <f t="shared" ca="1" si="128"/>
        <v>202.1074163455483</v>
      </c>
      <c r="I294" s="304">
        <f t="shared" ca="1" si="129"/>
        <v>215.12811772867406</v>
      </c>
      <c r="J294" s="306">
        <f t="shared" ca="1" si="130"/>
        <v>95.109815183849662</v>
      </c>
      <c r="K294" s="307">
        <f t="shared" ca="1" si="131"/>
        <v>278.82709085033372</v>
      </c>
      <c r="L294" s="304">
        <f t="shared" ca="1" si="116"/>
        <v>294.60214448704596</v>
      </c>
      <c r="M294" s="306">
        <f t="shared" ca="1" si="132"/>
        <v>1.2210937733084595</v>
      </c>
      <c r="N294" s="304">
        <f t="shared" ca="1" si="133"/>
        <v>69.963519600279227</v>
      </c>
      <c r="P294" s="310">
        <f t="shared" ca="1" si="134"/>
        <v>11</v>
      </c>
      <c r="Q294" s="304">
        <f t="shared" ca="1" si="135"/>
        <v>2201.5696255572061</v>
      </c>
      <c r="R294" s="306">
        <f t="shared" ca="1" si="136"/>
        <v>1.3239670330487692</v>
      </c>
      <c r="S294" s="307">
        <f t="shared" ca="1" si="137"/>
        <v>20.297975129828291</v>
      </c>
      <c r="T294" s="304">
        <f t="shared" ca="1" si="117"/>
        <v>199.12313602361556</v>
      </c>
      <c r="U294" s="311">
        <f t="shared" ca="1" si="118"/>
        <v>0</v>
      </c>
      <c r="V294" s="306">
        <f t="shared" ca="1" si="119"/>
        <v>1.1913133193294234</v>
      </c>
      <c r="W294" s="304">
        <f t="shared" ca="1" si="120"/>
        <v>321.4008419931215</v>
      </c>
      <c r="Y294" s="314" t="str">
        <f t="shared" ca="1" si="138"/>
        <v/>
      </c>
      <c r="Z294" s="315" t="str">
        <f t="shared" ca="1" si="139"/>
        <v/>
      </c>
      <c r="AA294" s="316" t="str">
        <f t="shared" ca="1" si="140"/>
        <v/>
      </c>
      <c r="AC294" s="310" t="e">
        <f t="shared" ca="1" si="141"/>
        <v>#N/A</v>
      </c>
      <c r="AD294" s="323" t="e">
        <f t="shared" ca="1" si="142"/>
        <v>#N/A</v>
      </c>
      <c r="AE294" s="324">
        <f t="shared" ca="1" si="121"/>
        <v>278.82709085033372</v>
      </c>
      <c r="AG294" s="306">
        <f t="shared" ca="1" si="143"/>
        <v>83.531174846068282</v>
      </c>
      <c r="AH294" s="304">
        <f t="shared" ca="1" si="144"/>
        <v>92.747946097265867</v>
      </c>
    </row>
    <row r="295" spans="1:34" x14ac:dyDescent="0.2">
      <c r="A295" s="347">
        <f t="shared" ca="1" si="122"/>
        <v>0.01</v>
      </c>
      <c r="B295" s="304">
        <f t="shared" ca="1" si="123"/>
        <v>2.9099999999999819</v>
      </c>
      <c r="D295" s="306">
        <f t="shared" ca="1" si="124"/>
        <v>31.7607266746259</v>
      </c>
      <c r="E295" s="307">
        <f t="shared" ca="1" si="125"/>
        <v>77.279309476465841</v>
      </c>
      <c r="F295" s="304">
        <f t="shared" ca="1" si="126"/>
        <v>83.551393956412696</v>
      </c>
      <c r="G295" s="306">
        <f t="shared" ca="1" si="127"/>
        <v>74.02445427304167</v>
      </c>
      <c r="H295" s="307">
        <f t="shared" ca="1" si="128"/>
        <v>202.88020944031297</v>
      </c>
      <c r="I295" s="304">
        <f t="shared" ca="1" si="129"/>
        <v>215.96295796494104</v>
      </c>
      <c r="J295" s="306">
        <f t="shared" ca="1" si="130"/>
        <v>95.848471690246342</v>
      </c>
      <c r="K295" s="307">
        <f t="shared" ca="1" si="131"/>
        <v>280.85202897926303</v>
      </c>
      <c r="L295" s="304">
        <f t="shared" ca="1" si="116"/>
        <v>296.75712578997116</v>
      </c>
      <c r="M295" s="306">
        <f t="shared" ca="1" si="132"/>
        <v>1.2209381407710684</v>
      </c>
      <c r="N295" s="304">
        <f t="shared" ca="1" si="133"/>
        <v>69.95460251273181</v>
      </c>
      <c r="P295" s="310">
        <f t="shared" ca="1" si="134"/>
        <v>11</v>
      </c>
      <c r="Q295" s="304">
        <f t="shared" ca="1" si="135"/>
        <v>2201.7958662704305</v>
      </c>
      <c r="R295" s="306">
        <f t="shared" ca="1" si="136"/>
        <v>1.3241030883623806</v>
      </c>
      <c r="S295" s="307">
        <f t="shared" ca="1" si="137"/>
        <v>20.284734098944668</v>
      </c>
      <c r="T295" s="304">
        <f t="shared" ca="1" si="117"/>
        <v>198.99324151064721</v>
      </c>
      <c r="U295" s="311">
        <f t="shared" ca="1" si="118"/>
        <v>0</v>
      </c>
      <c r="V295" s="306">
        <f t="shared" ca="1" si="119"/>
        <v>1.1910720629480467</v>
      </c>
      <c r="W295" s="304">
        <f t="shared" ca="1" si="120"/>
        <v>323.83458640059649</v>
      </c>
      <c r="Y295" s="314" t="str">
        <f t="shared" ca="1" si="138"/>
        <v/>
      </c>
      <c r="Z295" s="315" t="str">
        <f t="shared" ca="1" si="139"/>
        <v/>
      </c>
      <c r="AA295" s="316" t="str">
        <f t="shared" ca="1" si="140"/>
        <v/>
      </c>
      <c r="AC295" s="310" t="e">
        <f t="shared" ca="1" si="141"/>
        <v>#N/A</v>
      </c>
      <c r="AD295" s="323" t="e">
        <f t="shared" ca="1" si="142"/>
        <v>#N/A</v>
      </c>
      <c r="AE295" s="324">
        <f t="shared" ca="1" si="121"/>
        <v>280.85202897926303</v>
      </c>
      <c r="AG295" s="306">
        <f t="shared" ca="1" si="143"/>
        <v>83.483762079503194</v>
      </c>
      <c r="AH295" s="304">
        <f t="shared" ca="1" si="144"/>
        <v>92.700008543623866</v>
      </c>
    </row>
    <row r="296" spans="1:34" x14ac:dyDescent="0.2">
      <c r="A296" s="347">
        <f t="shared" ca="1" si="122"/>
        <v>0.01</v>
      </c>
      <c r="B296" s="304">
        <f t="shared" ca="1" si="123"/>
        <v>2.9199999999999817</v>
      </c>
      <c r="D296" s="306">
        <f t="shared" ca="1" si="124"/>
        <v>31.757710811116375</v>
      </c>
      <c r="E296" s="307">
        <f t="shared" ca="1" si="125"/>
        <v>77.228953329381127</v>
      </c>
      <c r="F296" s="304">
        <f t="shared" ca="1" si="126"/>
        <v>83.503673142648196</v>
      </c>
      <c r="G296" s="306">
        <f t="shared" ca="1" si="127"/>
        <v>74.342031381152836</v>
      </c>
      <c r="H296" s="307">
        <f t="shared" ca="1" si="128"/>
        <v>203.65249897360678</v>
      </c>
      <c r="I296" s="304">
        <f t="shared" ca="1" si="129"/>
        <v>216.79732002050031</v>
      </c>
      <c r="J296" s="306">
        <f t="shared" ca="1" si="130"/>
        <v>96.590304118517309</v>
      </c>
      <c r="K296" s="307">
        <f t="shared" ca="1" si="131"/>
        <v>282.88469252133262</v>
      </c>
      <c r="L296" s="304">
        <f t="shared" ca="1" si="116"/>
        <v>298.92045114477628</v>
      </c>
      <c r="M296" s="306">
        <f t="shared" ca="1" si="132"/>
        <v>1.2207830410392193</v>
      </c>
      <c r="N296" s="304">
        <f t="shared" ca="1" si="133"/>
        <v>69.945715952693234</v>
      </c>
      <c r="P296" s="310">
        <f t="shared" ca="1" si="134"/>
        <v>11</v>
      </c>
      <c r="Q296" s="304">
        <f t="shared" ca="1" si="135"/>
        <v>2202.0221069836548</v>
      </c>
      <c r="R296" s="306">
        <f t="shared" ca="1" si="136"/>
        <v>1.3242391436759919</v>
      </c>
      <c r="S296" s="307">
        <f t="shared" ca="1" si="137"/>
        <v>20.271491707507909</v>
      </c>
      <c r="T296" s="304">
        <f t="shared" ca="1" si="117"/>
        <v>198.86333365065261</v>
      </c>
      <c r="U296" s="311">
        <f t="shared" ca="1" si="118"/>
        <v>0</v>
      </c>
      <c r="V296" s="306">
        <f t="shared" ca="1" si="119"/>
        <v>1.1908299345885049</v>
      </c>
      <c r="W296" s="304">
        <f t="shared" ca="1" si="120"/>
        <v>326.27531668416617</v>
      </c>
      <c r="Y296" s="314" t="str">
        <f t="shared" ca="1" si="138"/>
        <v/>
      </c>
      <c r="Z296" s="315" t="str">
        <f t="shared" ca="1" si="139"/>
        <v/>
      </c>
      <c r="AA296" s="316" t="str">
        <f t="shared" ca="1" si="140"/>
        <v/>
      </c>
      <c r="AC296" s="310" t="e">
        <f t="shared" ca="1" si="141"/>
        <v>#N/A</v>
      </c>
      <c r="AD296" s="323" t="e">
        <f t="shared" ca="1" si="142"/>
        <v>#N/A</v>
      </c>
      <c r="AE296" s="324">
        <f t="shared" ca="1" si="121"/>
        <v>282.88469252133262</v>
      </c>
      <c r="AG296" s="306">
        <f t="shared" ca="1" si="143"/>
        <v>83.435944792903513</v>
      </c>
      <c r="AH296" s="304">
        <f t="shared" ca="1" si="144"/>
        <v>92.651668051021531</v>
      </c>
    </row>
    <row r="297" spans="1:34" x14ac:dyDescent="0.2">
      <c r="A297" s="347">
        <f t="shared" ca="1" si="122"/>
        <v>0.01</v>
      </c>
      <c r="B297" s="304">
        <f t="shared" ca="1" si="123"/>
        <v>2.9299999999999815</v>
      </c>
      <c r="D297" s="306">
        <f t="shared" ca="1" si="124"/>
        <v>31.754495906921697</v>
      </c>
      <c r="E297" s="307">
        <f t="shared" ca="1" si="125"/>
        <v>77.178239693585397</v>
      </c>
      <c r="F297" s="304">
        <f t="shared" ca="1" si="126"/>
        <v>83.455549201375618</v>
      </c>
      <c r="G297" s="306">
        <f t="shared" ca="1" si="127"/>
        <v>74.65957634022206</v>
      </c>
      <c r="H297" s="307">
        <f t="shared" ca="1" si="128"/>
        <v>204.42428137054264</v>
      </c>
      <c r="I297" s="304">
        <f t="shared" ca="1" si="129"/>
        <v>217.63119986151855</v>
      </c>
      <c r="J297" s="306">
        <f t="shared" ca="1" si="130"/>
        <v>97.335312157124179</v>
      </c>
      <c r="K297" s="307">
        <f t="shared" ca="1" si="131"/>
        <v>284.92507642305338</v>
      </c>
      <c r="L297" s="304">
        <f t="shared" ca="1" si="116"/>
        <v>301.0921157509901</v>
      </c>
      <c r="M297" s="306">
        <f t="shared" ca="1" si="132"/>
        <v>1.2206284699144041</v>
      </c>
      <c r="N297" s="304">
        <f t="shared" ca="1" si="133"/>
        <v>69.936859679606741</v>
      </c>
      <c r="P297" s="310">
        <f t="shared" ca="1" si="134"/>
        <v>11</v>
      </c>
      <c r="Q297" s="304">
        <f t="shared" ca="1" si="135"/>
        <v>2202.2483476968791</v>
      </c>
      <c r="R297" s="306">
        <f t="shared" ca="1" si="136"/>
        <v>1.3243751989896033</v>
      </c>
      <c r="S297" s="307">
        <f t="shared" ca="1" si="137"/>
        <v>20.258247955518012</v>
      </c>
      <c r="T297" s="304">
        <f t="shared" ca="1" si="117"/>
        <v>198.73341244363172</v>
      </c>
      <c r="U297" s="311">
        <f t="shared" ca="1" si="118"/>
        <v>0</v>
      </c>
      <c r="V297" s="306">
        <f t="shared" ca="1" si="119"/>
        <v>1.1905869353913545</v>
      </c>
      <c r="W297" s="304">
        <f t="shared" ca="1" si="120"/>
        <v>328.72299382770768</v>
      </c>
      <c r="Y297" s="314" t="str">
        <f t="shared" ca="1" si="138"/>
        <v/>
      </c>
      <c r="Z297" s="315" t="str">
        <f t="shared" ca="1" si="139"/>
        <v/>
      </c>
      <c r="AA297" s="316" t="str">
        <f t="shared" ca="1" si="140"/>
        <v/>
      </c>
      <c r="AC297" s="310" t="e">
        <f t="shared" ca="1" si="141"/>
        <v>#N/A</v>
      </c>
      <c r="AD297" s="323" t="e">
        <f t="shared" ca="1" si="142"/>
        <v>#N/A</v>
      </c>
      <c r="AE297" s="324">
        <f t="shared" ca="1" si="121"/>
        <v>284.92507642305338</v>
      </c>
      <c r="AG297" s="306">
        <f t="shared" ca="1" si="143"/>
        <v>83.387724117061353</v>
      </c>
      <c r="AH297" s="304">
        <f t="shared" ca="1" si="144"/>
        <v>92.602925738290651</v>
      </c>
    </row>
    <row r="298" spans="1:34" x14ac:dyDescent="0.2">
      <c r="A298" s="347">
        <f t="shared" ca="1" si="122"/>
        <v>0.01</v>
      </c>
      <c r="B298" s="304">
        <f t="shared" ca="1" si="123"/>
        <v>2.9399999999999813</v>
      </c>
      <c r="D298" s="306">
        <f t="shared" ca="1" si="124"/>
        <v>31.751082620593216</v>
      </c>
      <c r="E298" s="307">
        <f t="shared" ca="1" si="125"/>
        <v>77.127169558444194</v>
      </c>
      <c r="F298" s="304">
        <f t="shared" ca="1" si="126"/>
        <v>83.407023275481649</v>
      </c>
      <c r="G298" s="306">
        <f t="shared" ca="1" si="127"/>
        <v>74.977087166427992</v>
      </c>
      <c r="H298" s="307">
        <f t="shared" ca="1" si="128"/>
        <v>205.19555306612708</v>
      </c>
      <c r="I298" s="304">
        <f t="shared" ca="1" si="129"/>
        <v>218.46459346556802</v>
      </c>
      <c r="J298" s="306">
        <f t="shared" ca="1" si="130"/>
        <v>98.083495474657425</v>
      </c>
      <c r="K298" s="307">
        <f t="shared" ca="1" si="131"/>
        <v>286.97317559523674</v>
      </c>
      <c r="L298" s="304">
        <f t="shared" ca="1" si="116"/>
        <v>303.27211476781332</v>
      </c>
      <c r="M298" s="306">
        <f t="shared" ca="1" si="132"/>
        <v>1.2204744232450484</v>
      </c>
      <c r="N298" s="304">
        <f t="shared" ca="1" si="133"/>
        <v>69.928033455604606</v>
      </c>
      <c r="P298" s="310">
        <f t="shared" ca="1" si="134"/>
        <v>11</v>
      </c>
      <c r="Q298" s="304">
        <f t="shared" ca="1" si="135"/>
        <v>2202.4745884101035</v>
      </c>
      <c r="R298" s="306">
        <f t="shared" ca="1" si="136"/>
        <v>1.3245112543032147</v>
      </c>
      <c r="S298" s="307">
        <f t="shared" ca="1" si="137"/>
        <v>20.24500284297498</v>
      </c>
      <c r="T298" s="304">
        <f t="shared" ca="1" si="117"/>
        <v>198.60347788958455</v>
      </c>
      <c r="U298" s="311">
        <f t="shared" ca="1" si="118"/>
        <v>0</v>
      </c>
      <c r="V298" s="306">
        <f t="shared" ca="1" si="119"/>
        <v>1.1903430665026893</v>
      </c>
      <c r="W298" s="304">
        <f t="shared" ca="1" si="120"/>
        <v>331.1775786711915</v>
      </c>
      <c r="Y298" s="314" t="str">
        <f t="shared" ca="1" si="138"/>
        <v/>
      </c>
      <c r="Z298" s="315" t="str">
        <f t="shared" ca="1" si="139"/>
        <v/>
      </c>
      <c r="AA298" s="316" t="str">
        <f t="shared" ca="1" si="140"/>
        <v/>
      </c>
      <c r="AC298" s="310" t="e">
        <f t="shared" ca="1" si="141"/>
        <v>#N/A</v>
      </c>
      <c r="AD298" s="323" t="e">
        <f t="shared" ca="1" si="142"/>
        <v>#N/A</v>
      </c>
      <c r="AE298" s="324">
        <f t="shared" ca="1" si="121"/>
        <v>286.97317559523674</v>
      </c>
      <c r="AG298" s="306">
        <f t="shared" ca="1" si="143"/>
        <v>83.33910119259896</v>
      </c>
      <c r="AH298" s="304">
        <f t="shared" ca="1" si="144"/>
        <v>92.553782734221144</v>
      </c>
    </row>
    <row r="299" spans="1:34" x14ac:dyDescent="0.2">
      <c r="A299" s="347">
        <f t="shared" ca="1" si="122"/>
        <v>0.01</v>
      </c>
      <c r="B299" s="304">
        <f t="shared" ca="1" si="123"/>
        <v>2.9499999999999811</v>
      </c>
      <c r="D299" s="306">
        <f t="shared" ca="1" si="124"/>
        <v>31.747471610984331</v>
      </c>
      <c r="E299" s="307">
        <f t="shared" ca="1" si="125"/>
        <v>77.075743923431929</v>
      </c>
      <c r="F299" s="304">
        <f t="shared" ca="1" si="126"/>
        <v>83.358096517619146</v>
      </c>
      <c r="G299" s="306">
        <f t="shared" ca="1" si="127"/>
        <v>75.294561882537835</v>
      </c>
      <c r="H299" s="307">
        <f t="shared" ca="1" si="128"/>
        <v>205.96631050536141</v>
      </c>
      <c r="I299" s="304">
        <f t="shared" ca="1" si="129"/>
        <v>219.29749682172451</v>
      </c>
      <c r="J299" s="306">
        <f t="shared" ca="1" si="130"/>
        <v>98.834853719902256</v>
      </c>
      <c r="K299" s="307">
        <f t="shared" ca="1" si="131"/>
        <v>289.02898491309418</v>
      </c>
      <c r="L299" s="304">
        <f t="shared" ca="1" si="116"/>
        <v>305.46044331423354</v>
      </c>
      <c r="M299" s="306">
        <f t="shared" ca="1" si="132"/>
        <v>1.2203208969258097</v>
      </c>
      <c r="N299" s="304">
        <f t="shared" ca="1" si="133"/>
        <v>69.919237045468051</v>
      </c>
      <c r="P299" s="310">
        <f t="shared" ca="1" si="134"/>
        <v>11</v>
      </c>
      <c r="Q299" s="304">
        <f t="shared" ca="1" si="135"/>
        <v>2202.7008291233278</v>
      </c>
      <c r="R299" s="306">
        <f t="shared" ca="1" si="136"/>
        <v>1.3246473096168261</v>
      </c>
      <c r="S299" s="307">
        <f t="shared" ca="1" si="137"/>
        <v>20.231756369878813</v>
      </c>
      <c r="T299" s="304">
        <f t="shared" ca="1" si="117"/>
        <v>198.47352998851116</v>
      </c>
      <c r="U299" s="311">
        <f t="shared" ca="1" si="118"/>
        <v>0</v>
      </c>
      <c r="V299" s="306">
        <f t="shared" ca="1" si="119"/>
        <v>1.1900983290741201</v>
      </c>
      <c r="W299" s="304">
        <f t="shared" ca="1" si="120"/>
        <v>333.63903191239876</v>
      </c>
      <c r="Y299" s="314" t="str">
        <f t="shared" ca="1" si="138"/>
        <v/>
      </c>
      <c r="Z299" s="315" t="str">
        <f t="shared" ca="1" si="139"/>
        <v/>
      </c>
      <c r="AA299" s="316" t="str">
        <f t="shared" ca="1" si="140"/>
        <v/>
      </c>
      <c r="AC299" s="310" t="e">
        <f t="shared" ca="1" si="141"/>
        <v>#N/A</v>
      </c>
      <c r="AD299" s="323" t="e">
        <f t="shared" ca="1" si="142"/>
        <v>#N/A</v>
      </c>
      <c r="AE299" s="324">
        <f t="shared" ca="1" si="121"/>
        <v>289.02898491309418</v>
      </c>
      <c r="AG299" s="306">
        <f t="shared" ca="1" si="143"/>
        <v>83.29007716991957</v>
      </c>
      <c r="AH299" s="304">
        <f t="shared" ca="1" si="144"/>
        <v>92.504240177509942</v>
      </c>
    </row>
    <row r="300" spans="1:34" x14ac:dyDescent="0.2">
      <c r="A300" s="347">
        <f t="shared" ca="1" si="122"/>
        <v>0.01</v>
      </c>
      <c r="B300" s="304">
        <f t="shared" ca="1" si="123"/>
        <v>2.9599999999999809</v>
      </c>
      <c r="D300" s="306">
        <f t="shared" ca="1" si="124"/>
        <v>31.743663537292012</v>
      </c>
      <c r="E300" s="307">
        <f t="shared" ca="1" si="125"/>
        <v>77.023963798066958</v>
      </c>
      <c r="F300" s="304">
        <f t="shared" ca="1" si="126"/>
        <v>83.308770090157566</v>
      </c>
      <c r="G300" s="306">
        <f t="shared" ca="1" si="127"/>
        <v>75.611998517910749</v>
      </c>
      <c r="H300" s="307">
        <f t="shared" ca="1" si="128"/>
        <v>206.73655014334207</v>
      </c>
      <c r="I300" s="304">
        <f t="shared" ca="1" si="129"/>
        <v>220.12990593066434</v>
      </c>
      <c r="J300" s="306">
        <f t="shared" ca="1" si="130"/>
        <v>99.589386521904501</v>
      </c>
      <c r="K300" s="307">
        <f t="shared" ca="1" si="131"/>
        <v>291.09249921633767</v>
      </c>
      <c r="L300" s="304">
        <f t="shared" ca="1" si="116"/>
        <v>307.65709646914183</v>
      </c>
      <c r="M300" s="306">
        <f t="shared" ca="1" si="132"/>
        <v>1.2201678868968882</v>
      </c>
      <c r="N300" s="304">
        <f t="shared" ca="1" si="133"/>
        <v>69.910470216587669</v>
      </c>
      <c r="P300" s="310">
        <f t="shared" ca="1" si="134"/>
        <v>11</v>
      </c>
      <c r="Q300" s="304">
        <f t="shared" ca="1" si="135"/>
        <v>2202.9270698365522</v>
      </c>
      <c r="R300" s="306">
        <f t="shared" ca="1" si="136"/>
        <v>1.3247833649304375</v>
      </c>
      <c r="S300" s="307">
        <f t="shared" ca="1" si="137"/>
        <v>20.218508536229507</v>
      </c>
      <c r="T300" s="304">
        <f t="shared" ca="1" si="117"/>
        <v>198.34356874041148</v>
      </c>
      <c r="U300" s="311">
        <f t="shared" ca="1" si="118"/>
        <v>0</v>
      </c>
      <c r="V300" s="306">
        <f t="shared" ca="1" si="119"/>
        <v>1.1898527242627488</v>
      </c>
      <c r="W300" s="304">
        <f t="shared" ca="1" si="120"/>
        <v>336.10731410864059</v>
      </c>
      <c r="Y300" s="314" t="str">
        <f t="shared" ca="1" si="138"/>
        <v/>
      </c>
      <c r="Z300" s="315" t="str">
        <f t="shared" ca="1" si="139"/>
        <v/>
      </c>
      <c r="AA300" s="316" t="str">
        <f t="shared" ca="1" si="140"/>
        <v/>
      </c>
      <c r="AC300" s="310" t="e">
        <f t="shared" ca="1" si="141"/>
        <v>#N/A</v>
      </c>
      <c r="AD300" s="323" t="e">
        <f t="shared" ca="1" si="142"/>
        <v>#N/A</v>
      </c>
      <c r="AE300" s="324">
        <f t="shared" ca="1" si="121"/>
        <v>291.09249921633767</v>
      </c>
      <c r="AG300" s="306">
        <f t="shared" ca="1" si="143"/>
        <v>83.240653209157415</v>
      </c>
      <c r="AH300" s="304">
        <f t="shared" ca="1" si="144"/>
        <v>92.454299216709259</v>
      </c>
    </row>
    <row r="301" spans="1:34" x14ac:dyDescent="0.2">
      <c r="A301" s="347">
        <f t="shared" ca="1" si="122"/>
        <v>0.01</v>
      </c>
      <c r="B301" s="304">
        <f t="shared" ca="1" si="123"/>
        <v>2.9699999999999807</v>
      </c>
      <c r="D301" s="306">
        <f t="shared" ca="1" si="124"/>
        <v>31.739659059097129</v>
      </c>
      <c r="E301" s="307">
        <f t="shared" ca="1" si="125"/>
        <v>76.971830201846686</v>
      </c>
      <c r="F301" s="304">
        <f t="shared" ca="1" si="126"/>
        <v>83.259045165132918</v>
      </c>
      <c r="G301" s="306">
        <f t="shared" ca="1" si="127"/>
        <v>75.929395108501723</v>
      </c>
      <c r="H301" s="307">
        <f t="shared" ca="1" si="128"/>
        <v>207.50626844536055</v>
      </c>
      <c r="I301" s="304">
        <f t="shared" ca="1" si="129"/>
        <v>220.96181680476153</v>
      </c>
      <c r="J301" s="306">
        <f t="shared" ca="1" si="130"/>
        <v>100.34709349003657</v>
      </c>
      <c r="K301" s="307">
        <f t="shared" ca="1" si="131"/>
        <v>293.16371330928121</v>
      </c>
      <c r="L301" s="304">
        <f t="shared" ca="1" si="116"/>
        <v>309.86206927144951</v>
      </c>
      <c r="M301" s="306">
        <f t="shared" ca="1" si="132"/>
        <v>1.2200153891433512</v>
      </c>
      <c r="N301" s="304">
        <f t="shared" ca="1" si="133"/>
        <v>69.901732738924778</v>
      </c>
      <c r="P301" s="310">
        <f t="shared" ca="1" si="134"/>
        <v>11</v>
      </c>
      <c r="Q301" s="304">
        <f t="shared" ca="1" si="135"/>
        <v>2203.1533105497765</v>
      </c>
      <c r="R301" s="306">
        <f t="shared" ca="1" si="136"/>
        <v>1.3249194202440489</v>
      </c>
      <c r="S301" s="307">
        <f t="shared" ca="1" si="137"/>
        <v>20.205259342027066</v>
      </c>
      <c r="T301" s="304">
        <f t="shared" ca="1" si="117"/>
        <v>198.21359414528553</v>
      </c>
      <c r="U301" s="311">
        <f t="shared" ca="1" si="118"/>
        <v>0</v>
      </c>
      <c r="V301" s="306">
        <f t="shared" ca="1" si="119"/>
        <v>1.1896062532311475</v>
      </c>
      <c r="W301" s="304">
        <f t="shared" ca="1" si="120"/>
        <v>338.58238567848724</v>
      </c>
      <c r="Y301" s="314" t="str">
        <f t="shared" ca="1" si="138"/>
        <v/>
      </c>
      <c r="Z301" s="315" t="str">
        <f t="shared" ca="1" si="139"/>
        <v/>
      </c>
      <c r="AA301" s="316" t="str">
        <f t="shared" ca="1" si="140"/>
        <v/>
      </c>
      <c r="AC301" s="310" t="e">
        <f t="shared" ca="1" si="141"/>
        <v>#N/A</v>
      </c>
      <c r="AD301" s="323" t="e">
        <f t="shared" ca="1" si="142"/>
        <v>#N/A</v>
      </c>
      <c r="AE301" s="324">
        <f t="shared" ca="1" si="121"/>
        <v>293.16371330928121</v>
      </c>
      <c r="AG301" s="306">
        <f t="shared" ca="1" si="143"/>
        <v>83.190830480127602</v>
      </c>
      <c r="AH301" s="304">
        <f t="shared" ca="1" si="144"/>
        <v>92.40396101017464</v>
      </c>
    </row>
    <row r="302" spans="1:34" x14ac:dyDescent="0.2">
      <c r="A302" s="347">
        <f t="shared" ca="1" si="122"/>
        <v>0.01</v>
      </c>
      <c r="B302" s="304">
        <f t="shared" ca="1" si="123"/>
        <v>2.9799999999999804</v>
      </c>
      <c r="D302" s="306">
        <f t="shared" ca="1" si="124"/>
        <v>31.735458836403396</v>
      </c>
      <c r="E302" s="307">
        <f t="shared" ca="1" si="125"/>
        <v>76.919344164182135</v>
      </c>
      <c r="F302" s="304">
        <f t="shared" ca="1" si="126"/>
        <v>83.208922924196983</v>
      </c>
      <c r="G302" s="306">
        <f t="shared" ca="1" si="127"/>
        <v>76.246749696865763</v>
      </c>
      <c r="H302" s="307">
        <f t="shared" ca="1" si="128"/>
        <v>208.27546188700236</v>
      </c>
      <c r="I302" s="304">
        <f t="shared" ca="1" si="129"/>
        <v>221.79322546818392</v>
      </c>
      <c r="J302" s="306">
        <f t="shared" ca="1" si="130"/>
        <v>101.1079742140634</v>
      </c>
      <c r="K302" s="307">
        <f t="shared" ca="1" si="131"/>
        <v>295.24262196094304</v>
      </c>
      <c r="L302" s="304">
        <f t="shared" ca="1" si="116"/>
        <v>312.07535672020634</v>
      </c>
      <c r="M302" s="306">
        <f t="shared" ca="1" si="132"/>
        <v>1.2198633996944694</v>
      </c>
      <c r="N302" s="304">
        <f t="shared" ca="1" si="133"/>
        <v>69.89302438497333</v>
      </c>
      <c r="P302" s="310">
        <f t="shared" ca="1" si="134"/>
        <v>11</v>
      </c>
      <c r="Q302" s="304">
        <f t="shared" ca="1" si="135"/>
        <v>2203.3795512630013</v>
      </c>
      <c r="R302" s="306">
        <f t="shared" ca="1" si="136"/>
        <v>1.3250554755576605</v>
      </c>
      <c r="S302" s="307">
        <f t="shared" ca="1" si="137"/>
        <v>20.19200878727149</v>
      </c>
      <c r="T302" s="304">
        <f t="shared" ca="1" si="117"/>
        <v>198.08360620313334</v>
      </c>
      <c r="U302" s="311">
        <f t="shared" ca="1" si="118"/>
        <v>0</v>
      </c>
      <c r="V302" s="306">
        <f t="shared" ca="1" si="119"/>
        <v>1.189358917147332</v>
      </c>
      <c r="W302" s="304">
        <f t="shared" ca="1" si="120"/>
        <v>341.0642069035012</v>
      </c>
      <c r="Y302" s="314" t="str">
        <f t="shared" ca="1" si="138"/>
        <v/>
      </c>
      <c r="Z302" s="315" t="str">
        <f t="shared" ca="1" si="139"/>
        <v/>
      </c>
      <c r="AA302" s="316" t="str">
        <f t="shared" ca="1" si="140"/>
        <v/>
      </c>
      <c r="AC302" s="310" t="e">
        <f t="shared" ca="1" si="141"/>
        <v>#N/A</v>
      </c>
      <c r="AD302" s="323" t="e">
        <f t="shared" ca="1" si="142"/>
        <v>#N/A</v>
      </c>
      <c r="AE302" s="324">
        <f t="shared" ca="1" si="121"/>
        <v>295.24262196094304</v>
      </c>
      <c r="AG302" s="306">
        <f t="shared" ca="1" si="143"/>
        <v>83.140610162275067</v>
      </c>
      <c r="AH302" s="304">
        <f t="shared" ca="1" si="144"/>
        <v>92.353226726012167</v>
      </c>
    </row>
    <row r="303" spans="1:34" x14ac:dyDescent="0.2">
      <c r="A303" s="347">
        <f t="shared" ca="1" si="122"/>
        <v>0.01</v>
      </c>
      <c r="B303" s="304">
        <f t="shared" ca="1" si="123"/>
        <v>2.9899999999999802</v>
      </c>
      <c r="D303" s="306">
        <f t="shared" ca="1" si="124"/>
        <v>31.731063529675108</v>
      </c>
      <c r="E303" s="307">
        <f t="shared" ca="1" si="125"/>
        <v>76.866506724332751</v>
      </c>
      <c r="F303" s="304">
        <f t="shared" ca="1" si="126"/>
        <v>83.158404558566232</v>
      </c>
      <c r="G303" s="306">
        <f t="shared" ca="1" si="127"/>
        <v>76.564060332162512</v>
      </c>
      <c r="H303" s="307">
        <f t="shared" ca="1" si="128"/>
        <v>209.04412695424568</v>
      </c>
      <c r="I303" s="304">
        <f t="shared" ca="1" si="129"/>
        <v>222.62412795698899</v>
      </c>
      <c r="J303" s="306">
        <f t="shared" ca="1" si="130"/>
        <v>101.87202826420855</v>
      </c>
      <c r="K303" s="307">
        <f t="shared" ca="1" si="131"/>
        <v>297.32921990514927</v>
      </c>
      <c r="L303" s="304">
        <f t="shared" ca="1" si="116"/>
        <v>314.29695377471978</v>
      </c>
      <c r="M303" s="306">
        <f t="shared" ca="1" si="132"/>
        <v>1.2197119146230666</v>
      </c>
      <c r="N303" s="304">
        <f t="shared" ca="1" si="133"/>
        <v>69.884344929722715</v>
      </c>
      <c r="P303" s="310">
        <f t="shared" ca="1" si="134"/>
        <v>11</v>
      </c>
      <c r="Q303" s="304">
        <f t="shared" ca="1" si="135"/>
        <v>2203.6057919762256</v>
      </c>
      <c r="R303" s="306">
        <f t="shared" ca="1" si="136"/>
        <v>1.3251915308712718</v>
      </c>
      <c r="S303" s="307">
        <f t="shared" ca="1" si="137"/>
        <v>20.178756871962779</v>
      </c>
      <c r="T303" s="304">
        <f t="shared" ca="1" si="117"/>
        <v>197.95360491395488</v>
      </c>
      <c r="U303" s="311">
        <f t="shared" ca="1" si="118"/>
        <v>0</v>
      </c>
      <c r="V303" s="306">
        <f t="shared" ca="1" si="119"/>
        <v>1.1891107171847399</v>
      </c>
      <c r="W303" s="304">
        <f t="shared" ca="1" si="120"/>
        <v>343.55273792997554</v>
      </c>
      <c r="Y303" s="314" t="str">
        <f t="shared" ca="1" si="138"/>
        <v/>
      </c>
      <c r="Z303" s="315" t="str">
        <f t="shared" ca="1" si="139"/>
        <v/>
      </c>
      <c r="AA303" s="316" t="str">
        <f t="shared" ca="1" si="140"/>
        <v/>
      </c>
      <c r="AC303" s="310" t="e">
        <f t="shared" ca="1" si="141"/>
        <v>#N/A</v>
      </c>
      <c r="AD303" s="323" t="e">
        <f t="shared" ca="1" si="142"/>
        <v>#N/A</v>
      </c>
      <c r="AE303" s="324">
        <f t="shared" ca="1" si="121"/>
        <v>297.32921990514927</v>
      </c>
      <c r="AG303" s="306">
        <f t="shared" ca="1" si="143"/>
        <v>83.089993444623303</v>
      </c>
      <c r="AH303" s="304">
        <f t="shared" ca="1" si="144"/>
        <v>92.302097542025436</v>
      </c>
    </row>
    <row r="304" spans="1:34" x14ac:dyDescent="0.2">
      <c r="A304" s="347">
        <f t="shared" ca="1" si="122"/>
        <v>0.01</v>
      </c>
      <c r="B304" s="304">
        <f t="shared" ca="1" si="123"/>
        <v>2.99999999999998</v>
      </c>
      <c r="D304" s="306">
        <f t="shared" ca="1" si="124"/>
        <v>31.726473799873638</v>
      </c>
      <c r="E304" s="307">
        <f t="shared" ca="1" si="125"/>
        <v>76.813318931340817</v>
      </c>
      <c r="F304" s="304">
        <f t="shared" ca="1" si="126"/>
        <v>83.107491268970151</v>
      </c>
      <c r="G304" s="306">
        <f t="shared" ca="1" si="127"/>
        <v>76.881325070161253</v>
      </c>
      <c r="H304" s="307">
        <f t="shared" ca="1" si="128"/>
        <v>209.81226014355909</v>
      </c>
      <c r="I304" s="304">
        <f t="shared" ca="1" si="129"/>
        <v>223.45452031921914</v>
      </c>
      <c r="J304" s="306">
        <f t="shared" ca="1" si="130"/>
        <v>102.63925519122017</v>
      </c>
      <c r="K304" s="307">
        <f t="shared" ca="1" si="131"/>
        <v>299.42350184063832</v>
      </c>
      <c r="L304" s="304">
        <f t="shared" ca="1" si="116"/>
        <v>316.52685535467469</v>
      </c>
      <c r="M304" s="306">
        <f t="shared" ca="1" si="132"/>
        <v>1.2195609300448804</v>
      </c>
      <c r="N304" s="304">
        <f t="shared" ca="1" si="133"/>
        <v>69.875694150621086</v>
      </c>
      <c r="P304" s="310">
        <f t="shared" ca="1" si="134"/>
        <v>11</v>
      </c>
      <c r="Q304" s="304">
        <f t="shared" ca="1" si="135"/>
        <v>2203.83203268945</v>
      </c>
      <c r="R304" s="306">
        <f t="shared" ca="1" si="136"/>
        <v>1.3253275861848832</v>
      </c>
      <c r="S304" s="307">
        <f t="shared" ca="1" si="137"/>
        <v>20.16550359610093</v>
      </c>
      <c r="T304" s="304">
        <f t="shared" ca="1" si="117"/>
        <v>197.82359027775013</v>
      </c>
      <c r="U304" s="311">
        <f t="shared" ca="1" si="118"/>
        <v>0</v>
      </c>
      <c r="V304" s="306">
        <f t="shared" ca="1" si="119"/>
        <v>1.1888616545222062</v>
      </c>
      <c r="W304" s="304">
        <f t="shared" ca="1" si="120"/>
        <v>346.0479387706792</v>
      </c>
      <c r="Y304" s="314" t="str">
        <f t="shared" ca="1" si="138"/>
        <v/>
      </c>
      <c r="Z304" s="315" t="str">
        <f t="shared" ca="1" si="139"/>
        <v/>
      </c>
      <c r="AA304" s="316" t="str">
        <f t="shared" ca="1" si="140"/>
        <v/>
      </c>
      <c r="AC304" s="310">
        <f t="shared" ca="1" si="141"/>
        <v>2.99999999999998</v>
      </c>
      <c r="AD304" s="323">
        <f t="shared" ca="1" si="142"/>
        <v>102.63925519122017</v>
      </c>
      <c r="AE304" s="324">
        <f t="shared" ca="1" si="121"/>
        <v>299.42350184063832</v>
      </c>
      <c r="AG304" s="306">
        <f t="shared" ca="1" si="143"/>
        <v>83.038981525722406</v>
      </c>
      <c r="AH304" s="304">
        <f t="shared" ca="1" si="144"/>
        <v>92.250574645661999</v>
      </c>
    </row>
    <row r="305" spans="1:34" x14ac:dyDescent="0.2">
      <c r="A305" s="347">
        <f t="shared" ca="1" si="122"/>
        <v>0.01</v>
      </c>
      <c r="B305" s="304">
        <f t="shared" ca="1" si="123"/>
        <v>3.0099999999999798</v>
      </c>
      <c r="D305" s="306">
        <f t="shared" ca="1" si="124"/>
        <v>31.721690308492651</v>
      </c>
      <c r="E305" s="307">
        <f t="shared" ca="1" si="125"/>
        <v>76.759781843965797</v>
      </c>
      <c r="F305" s="304">
        <f t="shared" ca="1" si="126"/>
        <v>83.056184265599015</v>
      </c>
      <c r="G305" s="306">
        <f t="shared" ca="1" si="127"/>
        <v>77.198541973246179</v>
      </c>
      <c r="H305" s="307">
        <f t="shared" ca="1" si="128"/>
        <v>210.57985796199875</v>
      </c>
      <c r="I305" s="304">
        <f t="shared" ca="1" si="129"/>
        <v>224.28439861499643</v>
      </c>
      <c r="J305" s="306">
        <f t="shared" ca="1" si="130"/>
        <v>103.40965452643721</v>
      </c>
      <c r="K305" s="307">
        <f t="shared" ca="1" si="131"/>
        <v>301.52546243116609</v>
      </c>
      <c r="L305" s="304">
        <f t="shared" ca="1" si="116"/>
        <v>318.76505634025455</v>
      </c>
      <c r="M305" s="306">
        <f t="shared" ca="1" si="132"/>
        <v>1.2194104421179348</v>
      </c>
      <c r="N305" s="304">
        <f t="shared" ca="1" si="133"/>
        <v>69.867071827539434</v>
      </c>
      <c r="P305" s="310">
        <f t="shared" ca="1" si="134"/>
        <v>11</v>
      </c>
      <c r="Q305" s="304">
        <f t="shared" ca="1" si="135"/>
        <v>2204.0582734026743</v>
      </c>
      <c r="R305" s="306">
        <f t="shared" ca="1" si="136"/>
        <v>1.3254636414984946</v>
      </c>
      <c r="S305" s="307">
        <f t="shared" ca="1" si="137"/>
        <v>20.152248959685945</v>
      </c>
      <c r="T305" s="304">
        <f t="shared" ca="1" si="117"/>
        <v>197.69356229451913</v>
      </c>
      <c r="U305" s="311">
        <f t="shared" ca="1" si="118"/>
        <v>0</v>
      </c>
      <c r="V305" s="306">
        <f t="shared" ca="1" si="119"/>
        <v>1.1886117303439376</v>
      </c>
      <c r="W305" s="304">
        <f t="shared" ca="1" si="120"/>
        <v>348.54976930660581</v>
      </c>
      <c r="Y305" s="314" t="str">
        <f t="shared" ca="1" si="138"/>
        <v/>
      </c>
      <c r="Z305" s="315" t="str">
        <f t="shared" ca="1" si="139"/>
        <v/>
      </c>
      <c r="AA305" s="316" t="str">
        <f t="shared" ca="1" si="140"/>
        <v/>
      </c>
      <c r="AC305" s="310" t="e">
        <f t="shared" ca="1" si="141"/>
        <v>#N/A</v>
      </c>
      <c r="AD305" s="323" t="e">
        <f t="shared" ca="1" si="142"/>
        <v>#N/A</v>
      </c>
      <c r="AE305" s="324">
        <f t="shared" ca="1" si="121"/>
        <v>301.52546243116609</v>
      </c>
      <c r="AG305" s="306">
        <f t="shared" ca="1" si="143"/>
        <v>82.987575613596803</v>
      </c>
      <c r="AH305" s="304">
        <f t="shared" ca="1" si="144"/>
        <v>92.19865923395929</v>
      </c>
    </row>
    <row r="306" spans="1:34" x14ac:dyDescent="0.2">
      <c r="A306" s="347">
        <f t="shared" ca="1" si="122"/>
        <v>0.01</v>
      </c>
      <c r="B306" s="304">
        <f t="shared" ca="1" si="123"/>
        <v>3.0199999999999796</v>
      </c>
      <c r="D306" s="306">
        <f t="shared" ca="1" si="124"/>
        <v>31.716713717592317</v>
      </c>
      <c r="E306" s="307">
        <f t="shared" ca="1" si="125"/>
        <v>76.705896530618418</v>
      </c>
      <c r="F306" s="304">
        <f t="shared" ca="1" si="126"/>
        <v>83.004484768051228</v>
      </c>
      <c r="G306" s="306">
        <f t="shared" ca="1" si="127"/>
        <v>77.515709110422108</v>
      </c>
      <c r="H306" s="307">
        <f t="shared" ca="1" si="128"/>
        <v>211.34691692730493</v>
      </c>
      <c r="I306" s="304">
        <f t="shared" ca="1" si="129"/>
        <v>225.11375891661689</v>
      </c>
      <c r="J306" s="306">
        <f t="shared" ca="1" si="130"/>
        <v>104.18322578185555</v>
      </c>
      <c r="K306" s="307">
        <f t="shared" ca="1" si="131"/>
        <v>303.63509630561259</v>
      </c>
      <c r="L306" s="304">
        <f t="shared" ca="1" si="116"/>
        <v>321.0115515722631</v>
      </c>
      <c r="M306" s="306">
        <f t="shared" ca="1" si="132"/>
        <v>1.2192604470419246</v>
      </c>
      <c r="N306" s="304">
        <f t="shared" ca="1" si="133"/>
        <v>69.858477742736298</v>
      </c>
      <c r="P306" s="310">
        <f t="shared" ca="1" si="134"/>
        <v>11</v>
      </c>
      <c r="Q306" s="304">
        <f t="shared" ca="1" si="135"/>
        <v>2204.2845141158987</v>
      </c>
      <c r="R306" s="306">
        <f t="shared" ca="1" si="136"/>
        <v>1.325599696812106</v>
      </c>
      <c r="S306" s="307">
        <f t="shared" ca="1" si="137"/>
        <v>20.138992962717825</v>
      </c>
      <c r="T306" s="304">
        <f t="shared" ca="1" si="117"/>
        <v>197.56352096426187</v>
      </c>
      <c r="U306" s="311">
        <f t="shared" ca="1" si="118"/>
        <v>0</v>
      </c>
      <c r="V306" s="306">
        <f t="shared" ca="1" si="119"/>
        <v>1.188360945839491</v>
      </c>
      <c r="W306" s="304">
        <f t="shared" ca="1" si="120"/>
        <v>351.05818928873009</v>
      </c>
      <c r="Y306" s="314" t="str">
        <f t="shared" ca="1" si="138"/>
        <v/>
      </c>
      <c r="Z306" s="315" t="str">
        <f t="shared" ca="1" si="139"/>
        <v/>
      </c>
      <c r="AA306" s="316" t="str">
        <f t="shared" ca="1" si="140"/>
        <v/>
      </c>
      <c r="AC306" s="310" t="e">
        <f t="shared" ca="1" si="141"/>
        <v>#N/A</v>
      </c>
      <c r="AD306" s="323" t="e">
        <f t="shared" ca="1" si="142"/>
        <v>#N/A</v>
      </c>
      <c r="AE306" s="324">
        <f t="shared" ca="1" si="121"/>
        <v>303.63509630561259</v>
      </c>
      <c r="AG306" s="306">
        <f t="shared" ca="1" si="143"/>
        <v>82.935776925692238</v>
      </c>
      <c r="AH306" s="304">
        <f t="shared" ca="1" si="144"/>
        <v>92.146352513490086</v>
      </c>
    </row>
    <row r="307" spans="1:34" x14ac:dyDescent="0.2">
      <c r="A307" s="347">
        <f t="shared" ca="1" si="122"/>
        <v>0.01</v>
      </c>
      <c r="B307" s="304">
        <f t="shared" ca="1" si="123"/>
        <v>3.0299999999999794</v>
      </c>
      <c r="D307" s="306">
        <f t="shared" ca="1" si="124"/>
        <v>31.711544689832191</v>
      </c>
      <c r="E307" s="307">
        <f t="shared" ca="1" si="125"/>
        <v>76.651664069294654</v>
      </c>
      <c r="F307" s="304">
        <f t="shared" ca="1" si="126"/>
        <v>82.952394005280041</v>
      </c>
      <c r="G307" s="306">
        <f t="shared" ca="1" si="127"/>
        <v>77.832824557320436</v>
      </c>
      <c r="H307" s="307">
        <f t="shared" ca="1" si="128"/>
        <v>212.11343356799787</v>
      </c>
      <c r="I307" s="304">
        <f t="shared" ca="1" si="129"/>
        <v>225.942597308644</v>
      </c>
      <c r="J307" s="306">
        <f t="shared" ca="1" si="130"/>
        <v>104.95996845019427</v>
      </c>
      <c r="K307" s="307">
        <f t="shared" ca="1" si="131"/>
        <v>305.75239805808911</v>
      </c>
      <c r="L307" s="304">
        <f t="shared" ca="1" si="116"/>
        <v>323.26633585224732</v>
      </c>
      <c r="M307" s="306">
        <f t="shared" ca="1" si="132"/>
        <v>1.219110941057612</v>
      </c>
      <c r="N307" s="304">
        <f t="shared" ca="1" si="133"/>
        <v>69.84991168082324</v>
      </c>
      <c r="P307" s="310">
        <f t="shared" ca="1" si="134"/>
        <v>11</v>
      </c>
      <c r="Q307" s="304">
        <f t="shared" ca="1" si="135"/>
        <v>2204.510754829123</v>
      </c>
      <c r="R307" s="306">
        <f t="shared" ca="1" si="136"/>
        <v>1.3257357521257174</v>
      </c>
      <c r="S307" s="307">
        <f t="shared" ca="1" si="137"/>
        <v>20.125735605196567</v>
      </c>
      <c r="T307" s="304">
        <f t="shared" ca="1" si="117"/>
        <v>197.43346628697833</v>
      </c>
      <c r="U307" s="311">
        <f t="shared" ca="1" si="118"/>
        <v>0</v>
      </c>
      <c r="V307" s="306">
        <f t="shared" ca="1" si="119"/>
        <v>1.1881093022037463</v>
      </c>
      <c r="W307" s="304">
        <f t="shared" ca="1" si="120"/>
        <v>353.57315833976656</v>
      </c>
      <c r="Y307" s="314" t="str">
        <f t="shared" ca="1" si="138"/>
        <v/>
      </c>
      <c r="Z307" s="315" t="str">
        <f t="shared" ca="1" si="139"/>
        <v/>
      </c>
      <c r="AA307" s="316" t="str">
        <f t="shared" ca="1" si="140"/>
        <v/>
      </c>
      <c r="AC307" s="310" t="e">
        <f t="shared" ca="1" si="141"/>
        <v>#N/A</v>
      </c>
      <c r="AD307" s="323" t="e">
        <f t="shared" ca="1" si="142"/>
        <v>#N/A</v>
      </c>
      <c r="AE307" s="324">
        <f t="shared" ca="1" si="121"/>
        <v>305.75239805808911</v>
      </c>
      <c r="AG307" s="306">
        <f t="shared" ca="1" si="143"/>
        <v>82.883586688822419</v>
      </c>
      <c r="AH307" s="304">
        <f t="shared" ca="1" si="144"/>
        <v>92.093655700307522</v>
      </c>
    </row>
    <row r="308" spans="1:34" x14ac:dyDescent="0.2">
      <c r="A308" s="347">
        <f t="shared" ca="1" si="122"/>
        <v>0.01</v>
      </c>
      <c r="B308" s="304">
        <f t="shared" ca="1" si="123"/>
        <v>3.0399999999999792</v>
      </c>
      <c r="D308" s="306">
        <f t="shared" ca="1" si="124"/>
        <v>31.706183888502952</v>
      </c>
      <c r="E308" s="307">
        <f t="shared" ca="1" si="125"/>
        <v>76.597085547509622</v>
      </c>
      <c r="F308" s="304">
        <f t="shared" ca="1" si="126"/>
        <v>82.899913215540053</v>
      </c>
      <c r="G308" s="306">
        <f t="shared" ca="1" si="127"/>
        <v>78.14988639620546</v>
      </c>
      <c r="H308" s="307">
        <f t="shared" ca="1" si="128"/>
        <v>212.87940442347298</v>
      </c>
      <c r="I308" s="304">
        <f t="shared" ca="1" si="129"/>
        <v>226.77090988800214</v>
      </c>
      <c r="J308" s="306">
        <f t="shared" ca="1" si="130"/>
        <v>105.7398820049619</v>
      </c>
      <c r="K308" s="307">
        <f t="shared" ca="1" si="131"/>
        <v>307.8773622480465</v>
      </c>
      <c r="L308" s="304">
        <f t="shared" ca="1" si="116"/>
        <v>325.529403942621</v>
      </c>
      <c r="M308" s="306">
        <f t="shared" ca="1" si="132"/>
        <v>1.2189619204462319</v>
      </c>
      <c r="N308" s="304">
        <f t="shared" ca="1" si="133"/>
        <v>69.841373428730691</v>
      </c>
      <c r="P308" s="310">
        <f t="shared" ca="1" si="134"/>
        <v>11</v>
      </c>
      <c r="Q308" s="304">
        <f t="shared" ca="1" si="135"/>
        <v>2204.7369955423474</v>
      </c>
      <c r="R308" s="306">
        <f t="shared" ca="1" si="136"/>
        <v>1.3258718074393288</v>
      </c>
      <c r="S308" s="307">
        <f t="shared" ca="1" si="137"/>
        <v>20.112476887122174</v>
      </c>
      <c r="T308" s="304">
        <f t="shared" ca="1" si="117"/>
        <v>197.30339826266854</v>
      </c>
      <c r="U308" s="311">
        <f t="shared" ca="1" si="118"/>
        <v>0</v>
      </c>
      <c r="V308" s="306">
        <f t="shared" ca="1" si="119"/>
        <v>1.1878568006368826</v>
      </c>
      <c r="W308" s="304">
        <f t="shared" ca="1" si="120"/>
        <v>356.0946359559357</v>
      </c>
      <c r="Y308" s="314" t="str">
        <f t="shared" ca="1" si="138"/>
        <v/>
      </c>
      <c r="Z308" s="315" t="str">
        <f t="shared" ca="1" si="139"/>
        <v/>
      </c>
      <c r="AA308" s="316" t="str">
        <f t="shared" ca="1" si="140"/>
        <v/>
      </c>
      <c r="AC308" s="310" t="e">
        <f t="shared" ca="1" si="141"/>
        <v>#N/A</v>
      </c>
      <c r="AD308" s="323" t="e">
        <f t="shared" ca="1" si="142"/>
        <v>#N/A</v>
      </c>
      <c r="AE308" s="324">
        <f t="shared" ca="1" si="121"/>
        <v>307.8773622480465</v>
      </c>
      <c r="AG308" s="306">
        <f t="shared" ca="1" si="143"/>
        <v>82.831006139115189</v>
      </c>
      <c r="AH308" s="304">
        <f t="shared" ca="1" si="144"/>
        <v>92.040570019889657</v>
      </c>
    </row>
    <row r="309" spans="1:34" x14ac:dyDescent="0.2">
      <c r="A309" s="347">
        <f t="shared" ca="1" si="122"/>
        <v>0.01</v>
      </c>
      <c r="B309" s="304">
        <f t="shared" ca="1" si="123"/>
        <v>3.049999999999979</v>
      </c>
      <c r="D309" s="306">
        <f t="shared" ca="1" si="124"/>
        <v>31.700631977557197</v>
      </c>
      <c r="E309" s="307">
        <f t="shared" ca="1" si="125"/>
        <v>76.542162062231057</v>
      </c>
      <c r="F309" s="304">
        <f t="shared" ca="1" si="126"/>
        <v>82.847043646332764</v>
      </c>
      <c r="G309" s="306">
        <f t="shared" ca="1" si="127"/>
        <v>78.466892715981032</v>
      </c>
      <c r="H309" s="307">
        <f t="shared" ca="1" si="128"/>
        <v>213.64482604409528</v>
      </c>
      <c r="I309" s="304">
        <f t="shared" ca="1" si="129"/>
        <v>227.59869276406886</v>
      </c>
      <c r="J309" s="306">
        <f t="shared" ca="1" si="130"/>
        <v>106.52296590052283</v>
      </c>
      <c r="K309" s="307">
        <f t="shared" ca="1" si="131"/>
        <v>310.00998340038433</v>
      </c>
      <c r="L309" s="304">
        <f t="shared" ca="1" si="116"/>
        <v>327.80075056678947</v>
      </c>
      <c r="M309" s="306">
        <f t="shared" ca="1" si="132"/>
        <v>1.2188133815289095</v>
      </c>
      <c r="N309" s="304">
        <f t="shared" ca="1" si="133"/>
        <v>69.832862775674684</v>
      </c>
      <c r="P309" s="310">
        <f t="shared" ca="1" si="134"/>
        <v>11</v>
      </c>
      <c r="Q309" s="304">
        <f t="shared" ca="1" si="135"/>
        <v>2204.9632362555717</v>
      </c>
      <c r="R309" s="306">
        <f t="shared" ca="1" si="136"/>
        <v>1.3260078627529401</v>
      </c>
      <c r="S309" s="307">
        <f t="shared" ca="1" si="137"/>
        <v>20.099216808494646</v>
      </c>
      <c r="T309" s="304">
        <f t="shared" ca="1" si="117"/>
        <v>197.17331689133249</v>
      </c>
      <c r="U309" s="311">
        <f t="shared" ca="1" si="118"/>
        <v>0</v>
      </c>
      <c r="V309" s="306">
        <f t="shared" ca="1" si="119"/>
        <v>1.1876034423443558</v>
      </c>
      <c r="W309" s="304">
        <f t="shared" ca="1" si="120"/>
        <v>358.6225815087339</v>
      </c>
      <c r="Y309" s="314" t="str">
        <f t="shared" ca="1" si="138"/>
        <v/>
      </c>
      <c r="Z309" s="315" t="str">
        <f t="shared" ca="1" si="139"/>
        <v/>
      </c>
      <c r="AA309" s="316" t="str">
        <f t="shared" ca="1" si="140"/>
        <v/>
      </c>
      <c r="AC309" s="310" t="e">
        <f t="shared" ca="1" si="141"/>
        <v>#N/A</v>
      </c>
      <c r="AD309" s="323" t="e">
        <f t="shared" ca="1" si="142"/>
        <v>#N/A</v>
      </c>
      <c r="AE309" s="324">
        <f t="shared" ca="1" si="121"/>
        <v>310.00998340038433</v>
      </c>
      <c r="AG309" s="306">
        <f t="shared" ca="1" si="143"/>
        <v>82.7780365219581</v>
      </c>
      <c r="AH309" s="304">
        <f t="shared" ca="1" si="144"/>
        <v>91.987096707083538</v>
      </c>
    </row>
    <row r="310" spans="1:34" x14ac:dyDescent="0.2">
      <c r="A310" s="347">
        <f t="shared" ca="1" si="122"/>
        <v>0.01</v>
      </c>
      <c r="B310" s="304">
        <f t="shared" ca="1" si="123"/>
        <v>3.0599999999999787</v>
      </c>
      <c r="D310" s="306">
        <f t="shared" ca="1" si="124"/>
        <v>31.694889621639025</v>
      </c>
      <c r="E310" s="307">
        <f t="shared" ca="1" si="125"/>
        <v>76.486894719812923</v>
      </c>
      <c r="F310" s="304">
        <f t="shared" ca="1" si="126"/>
        <v>82.793786554352181</v>
      </c>
      <c r="G310" s="306">
        <f t="shared" ca="1" si="127"/>
        <v>78.783841612197421</v>
      </c>
      <c r="H310" s="307">
        <f t="shared" ca="1" si="128"/>
        <v>214.40969499129341</v>
      </c>
      <c r="I310" s="304">
        <f t="shared" ca="1" si="129"/>
        <v>228.42594205876722</v>
      </c>
      <c r="J310" s="306">
        <f t="shared" ca="1" si="130"/>
        <v>107.30921957216373</v>
      </c>
      <c r="K310" s="307">
        <f t="shared" ca="1" si="131"/>
        <v>312.15025600556129</v>
      </c>
      <c r="L310" s="304">
        <f t="shared" ca="1" si="116"/>
        <v>330.08037040927519</v>
      </c>
      <c r="M310" s="306">
        <f t="shared" ca="1" si="132"/>
        <v>1.2186653206660896</v>
      </c>
      <c r="N310" s="304">
        <f t="shared" ca="1" si="133"/>
        <v>69.824379513124029</v>
      </c>
      <c r="P310" s="310">
        <f t="shared" ca="1" si="134"/>
        <v>11</v>
      </c>
      <c r="Q310" s="304">
        <f t="shared" ca="1" si="135"/>
        <v>2205.189476968796</v>
      </c>
      <c r="R310" s="306">
        <f t="shared" ca="1" si="136"/>
        <v>1.3261439180665515</v>
      </c>
      <c r="S310" s="307">
        <f t="shared" ca="1" si="137"/>
        <v>20.085955369313979</v>
      </c>
      <c r="T310" s="304">
        <f t="shared" ca="1" si="117"/>
        <v>197.04322217297013</v>
      </c>
      <c r="U310" s="311">
        <f t="shared" ca="1" si="118"/>
        <v>0</v>
      </c>
      <c r="V310" s="306">
        <f t="shared" ca="1" si="119"/>
        <v>1.1873492285368701</v>
      </c>
      <c r="W310" s="304">
        <f t="shared" ca="1" si="120"/>
        <v>361.15695424670736</v>
      </c>
      <c r="Y310" s="314" t="str">
        <f t="shared" ca="1" si="138"/>
        <v/>
      </c>
      <c r="Z310" s="315" t="str">
        <f t="shared" ca="1" si="139"/>
        <v/>
      </c>
      <c r="AA310" s="316" t="str">
        <f t="shared" ca="1" si="140"/>
        <v/>
      </c>
      <c r="AC310" s="310" t="e">
        <f t="shared" ca="1" si="141"/>
        <v>#N/A</v>
      </c>
      <c r="AD310" s="323" t="e">
        <f t="shared" ca="1" si="142"/>
        <v>#N/A</v>
      </c>
      <c r="AE310" s="324">
        <f t="shared" ca="1" si="121"/>
        <v>312.15025600556129</v>
      </c>
      <c r="AG310" s="306">
        <f t="shared" ca="1" si="143"/>
        <v>82.724679091943642</v>
      </c>
      <c r="AH310" s="304">
        <f t="shared" ca="1" si="144"/>
        <v>91.933237006048884</v>
      </c>
    </row>
    <row r="311" spans="1:34" x14ac:dyDescent="0.2">
      <c r="A311" s="347">
        <f t="shared" ca="1" si="122"/>
        <v>0.01</v>
      </c>
      <c r="B311" s="304">
        <f t="shared" ca="1" si="123"/>
        <v>3.0699999999999785</v>
      </c>
      <c r="D311" s="306">
        <f t="shared" ca="1" si="124"/>
        <v>31.68895748611245</v>
      </c>
      <c r="E311" s="307">
        <f t="shared" ca="1" si="125"/>
        <v>76.431284635928591</v>
      </c>
      <c r="F311" s="304">
        <f t="shared" ca="1" si="126"/>
        <v>82.740143205429462</v>
      </c>
      <c r="G311" s="306">
        <f t="shared" ca="1" si="127"/>
        <v>79.100731187058543</v>
      </c>
      <c r="H311" s="307">
        <f t="shared" ca="1" si="128"/>
        <v>215.17400783765268</v>
      </c>
      <c r="I311" s="304">
        <f t="shared" ca="1" si="129"/>
        <v>229.25265390665714</v>
      </c>
      <c r="J311" s="306">
        <f t="shared" ca="1" si="130"/>
        <v>108.09864243616001</v>
      </c>
      <c r="K311" s="307">
        <f t="shared" ca="1" si="131"/>
        <v>314.29817451970604</v>
      </c>
      <c r="L311" s="304">
        <f t="shared" ca="1" si="116"/>
        <v>332.36825811584413</v>
      </c>
      <c r="M311" s="306">
        <f t="shared" ca="1" si="132"/>
        <v>1.2185177342569733</v>
      </c>
      <c r="N311" s="304">
        <f t="shared" ca="1" si="133"/>
        <v>69.81592343476818</v>
      </c>
      <c r="P311" s="310">
        <f t="shared" ca="1" si="134"/>
        <v>11</v>
      </c>
      <c r="Q311" s="304">
        <f t="shared" ca="1" si="135"/>
        <v>2205.4157176820204</v>
      </c>
      <c r="R311" s="306">
        <f t="shared" ca="1" si="136"/>
        <v>1.3262799733801629</v>
      </c>
      <c r="S311" s="307">
        <f t="shared" ca="1" si="137"/>
        <v>20.072692569580177</v>
      </c>
      <c r="T311" s="304">
        <f t="shared" ca="1" si="117"/>
        <v>196.91311410758155</v>
      </c>
      <c r="U311" s="311">
        <f t="shared" ca="1" si="118"/>
        <v>0</v>
      </c>
      <c r="V311" s="306">
        <f t="shared" ca="1" si="119"/>
        <v>1.1870941604303549</v>
      </c>
      <c r="W311" s="304">
        <f t="shared" ca="1" si="120"/>
        <v>363.69771329723181</v>
      </c>
      <c r="Y311" s="314" t="str">
        <f t="shared" ca="1" si="138"/>
        <v/>
      </c>
      <c r="Z311" s="315" t="str">
        <f t="shared" ca="1" si="139"/>
        <v/>
      </c>
      <c r="AA311" s="316" t="str">
        <f t="shared" ca="1" si="140"/>
        <v/>
      </c>
      <c r="AC311" s="310" t="e">
        <f t="shared" ca="1" si="141"/>
        <v>#N/A</v>
      </c>
      <c r="AD311" s="323" t="e">
        <f t="shared" ca="1" si="142"/>
        <v>#N/A</v>
      </c>
      <c r="AE311" s="324">
        <f t="shared" ca="1" si="121"/>
        <v>314.29817451970604</v>
      </c>
      <c r="AG311" s="306">
        <f t="shared" ca="1" si="143"/>
        <v>82.670935112813851</v>
      </c>
      <c r="AH311" s="304">
        <f t="shared" ca="1" si="144"/>
        <v>91.878992170201215</v>
      </c>
    </row>
    <row r="312" spans="1:34" x14ac:dyDescent="0.2">
      <c r="A312" s="347">
        <f t="shared" ca="1" si="122"/>
        <v>0.01</v>
      </c>
      <c r="B312" s="304">
        <f t="shared" ca="1" si="123"/>
        <v>3.0799999999999783</v>
      </c>
      <c r="D312" s="306">
        <f t="shared" ca="1" si="124"/>
        <v>31.682836237088974</v>
      </c>
      <c r="E312" s="307">
        <f t="shared" ca="1" si="125"/>
        <v>76.375332935504062</v>
      </c>
      <c r="F312" s="304">
        <f t="shared" ca="1" si="126"/>
        <v>82.686114874477497</v>
      </c>
      <c r="G312" s="306">
        <f t="shared" ca="1" si="127"/>
        <v>79.417559549429427</v>
      </c>
      <c r="H312" s="307">
        <f t="shared" ca="1" si="128"/>
        <v>215.93776116700772</v>
      </c>
      <c r="I312" s="304">
        <f t="shared" ca="1" si="129"/>
        <v>230.07882445502636</v>
      </c>
      <c r="J312" s="306">
        <f t="shared" ca="1" si="130"/>
        <v>108.89123388984244</v>
      </c>
      <c r="K312" s="307">
        <f t="shared" ca="1" si="131"/>
        <v>316.45373336472932</v>
      </c>
      <c r="L312" s="304">
        <f t="shared" ca="1" si="116"/>
        <v>334.66440829363313</v>
      </c>
      <c r="M312" s="306">
        <f t="shared" ca="1" si="132"/>
        <v>1.2183706187389671</v>
      </c>
      <c r="N312" s="304">
        <f t="shared" ca="1" si="133"/>
        <v>69.807494336485547</v>
      </c>
      <c r="P312" s="310">
        <f t="shared" ca="1" si="134"/>
        <v>11</v>
      </c>
      <c r="Q312" s="304">
        <f t="shared" ca="1" si="135"/>
        <v>2205.6419583952447</v>
      </c>
      <c r="R312" s="306">
        <f t="shared" ca="1" si="136"/>
        <v>1.3264160286937743</v>
      </c>
      <c r="S312" s="307">
        <f t="shared" ca="1" si="137"/>
        <v>20.05942840929324</v>
      </c>
      <c r="T312" s="304">
        <f t="shared" ca="1" si="117"/>
        <v>196.78299269516668</v>
      </c>
      <c r="U312" s="311">
        <f t="shared" ca="1" si="118"/>
        <v>0</v>
      </c>
      <c r="V312" s="306">
        <f t="shared" ca="1" si="119"/>
        <v>1.1868382392459407</v>
      </c>
      <c r="W312" s="304">
        <f t="shared" ca="1" si="120"/>
        <v>366.24481766829615</v>
      </c>
      <c r="Y312" s="314" t="str">
        <f t="shared" ca="1" si="138"/>
        <v/>
      </c>
      <c r="Z312" s="315" t="str">
        <f t="shared" ca="1" si="139"/>
        <v/>
      </c>
      <c r="AA312" s="316" t="str">
        <f t="shared" ca="1" si="140"/>
        <v/>
      </c>
      <c r="AC312" s="310" t="e">
        <f t="shared" ca="1" si="141"/>
        <v>#N/A</v>
      </c>
      <c r="AD312" s="323" t="e">
        <f t="shared" ca="1" si="142"/>
        <v>#N/A</v>
      </c>
      <c r="AE312" s="324">
        <f t="shared" ca="1" si="121"/>
        <v>316.45373336472932</v>
      </c>
      <c r="AG312" s="306">
        <f t="shared" ca="1" si="143"/>
        <v>82.616805857404586</v>
      </c>
      <c r="AH312" s="304">
        <f t="shared" ca="1" si="144"/>
        <v>91.824363462154636</v>
      </c>
    </row>
    <row r="313" spans="1:34" x14ac:dyDescent="0.2">
      <c r="A313" s="347">
        <f t="shared" ca="1" si="122"/>
        <v>0.01</v>
      </c>
      <c r="B313" s="304">
        <f t="shared" ca="1" si="123"/>
        <v>3.0899999999999781</v>
      </c>
      <c r="D313" s="306">
        <f t="shared" ca="1" si="124"/>
        <v>31.676526541454038</v>
      </c>
      <c r="E313" s="307">
        <f t="shared" ca="1" si="125"/>
        <v>76.319040752650864</v>
      </c>
      <c r="F313" s="304">
        <f t="shared" ca="1" si="126"/>
        <v>82.631702845434731</v>
      </c>
      <c r="G313" s="306">
        <f t="shared" ca="1" si="127"/>
        <v>79.734324814843973</v>
      </c>
      <c r="H313" s="307">
        <f t="shared" ca="1" si="128"/>
        <v>216.70095157453423</v>
      </c>
      <c r="I313" s="304">
        <f t="shared" ca="1" si="129"/>
        <v>230.90444986398091</v>
      </c>
      <c r="J313" s="306">
        <f t="shared" ca="1" si="130"/>
        <v>109.68699331166381</v>
      </c>
      <c r="K313" s="307">
        <f t="shared" ca="1" si="131"/>
        <v>318.61692692843701</v>
      </c>
      <c r="L313" s="304">
        <f t="shared" ca="1" si="116"/>
        <v>336.96881551127836</v>
      </c>
      <c r="M313" s="306">
        <f t="shared" ca="1" si="132"/>
        <v>1.2182239705871409</v>
      </c>
      <c r="N313" s="304">
        <f t="shared" ca="1" si="133"/>
        <v>69.799092016312514</v>
      </c>
      <c r="P313" s="310">
        <f t="shared" ca="1" si="134"/>
        <v>11</v>
      </c>
      <c r="Q313" s="304">
        <f t="shared" ca="1" si="135"/>
        <v>2205.8681991084691</v>
      </c>
      <c r="R313" s="306">
        <f t="shared" ca="1" si="136"/>
        <v>1.3265520840073857</v>
      </c>
      <c r="S313" s="307">
        <f t="shared" ca="1" si="137"/>
        <v>20.046162888453164</v>
      </c>
      <c r="T313" s="304">
        <f t="shared" ca="1" si="117"/>
        <v>196.65285793572556</v>
      </c>
      <c r="U313" s="311">
        <f t="shared" ca="1" si="118"/>
        <v>0</v>
      </c>
      <c r="V313" s="306">
        <f t="shared" ca="1" si="119"/>
        <v>1.186581466209931</v>
      </c>
      <c r="W313" s="304">
        <f t="shared" ca="1" si="120"/>
        <v>368.79822625028999</v>
      </c>
      <c r="Y313" s="314" t="str">
        <f t="shared" ca="1" si="138"/>
        <v/>
      </c>
      <c r="Z313" s="315" t="str">
        <f t="shared" ca="1" si="139"/>
        <v/>
      </c>
      <c r="AA313" s="316" t="str">
        <f t="shared" ca="1" si="140"/>
        <v/>
      </c>
      <c r="AC313" s="310" t="e">
        <f t="shared" ca="1" si="141"/>
        <v>#N/A</v>
      </c>
      <c r="AD313" s="323" t="e">
        <f t="shared" ca="1" si="142"/>
        <v>#N/A</v>
      </c>
      <c r="AE313" s="324">
        <f t="shared" ca="1" si="121"/>
        <v>318.61692692843701</v>
      </c>
      <c r="AG313" s="306">
        <f t="shared" ca="1" si="143"/>
        <v>82.562292607589299</v>
      </c>
      <c r="AH313" s="304">
        <f t="shared" ca="1" si="144"/>
        <v>91.769352153664215</v>
      </c>
    </row>
    <row r="314" spans="1:34" x14ac:dyDescent="0.2">
      <c r="A314" s="347">
        <f t="shared" ca="1" si="122"/>
        <v>0.01</v>
      </c>
      <c r="B314" s="304">
        <f t="shared" ca="1" si="123"/>
        <v>3.0999999999999779</v>
      </c>
      <c r="D314" s="306">
        <f t="shared" ca="1" si="124"/>
        <v>31.670029066892379</v>
      </c>
      <c r="E314" s="307">
        <f t="shared" ca="1" si="125"/>
        <v>76.262409230598763</v>
      </c>
      <c r="F314" s="304">
        <f t="shared" ca="1" si="126"/>
        <v>82.576908411208535</v>
      </c>
      <c r="G314" s="306">
        <f t="shared" ca="1" si="127"/>
        <v>80.051025105512892</v>
      </c>
      <c r="H314" s="307">
        <f t="shared" ca="1" si="128"/>
        <v>217.46357566684023</v>
      </c>
      <c r="I314" s="304">
        <f t="shared" ca="1" si="129"/>
        <v>231.72952630653481</v>
      </c>
      <c r="J314" s="306">
        <f t="shared" ca="1" si="130"/>
        <v>110.4859200612656</v>
      </c>
      <c r="K314" s="307">
        <f t="shared" ca="1" si="131"/>
        <v>320.78774956464389</v>
      </c>
      <c r="L314" s="304">
        <f t="shared" ca="1" si="116"/>
        <v>339.28147429904431</v>
      </c>
      <c r="M314" s="306">
        <f t="shared" ca="1" si="132"/>
        <v>1.2180777863136965</v>
      </c>
      <c r="N314" s="304">
        <f t="shared" ca="1" si="133"/>
        <v>69.790716274412958</v>
      </c>
      <c r="P314" s="310">
        <f t="shared" ca="1" si="134"/>
        <v>11</v>
      </c>
      <c r="Q314" s="304">
        <f t="shared" ca="1" si="135"/>
        <v>2206.0944398216934</v>
      </c>
      <c r="R314" s="306">
        <f t="shared" ca="1" si="136"/>
        <v>1.3266881393209971</v>
      </c>
      <c r="S314" s="307">
        <f t="shared" ca="1" si="137"/>
        <v>20.032896007059954</v>
      </c>
      <c r="T314" s="304">
        <f t="shared" ca="1" si="117"/>
        <v>196.52270982925816</v>
      </c>
      <c r="U314" s="311">
        <f t="shared" ca="1" si="118"/>
        <v>0</v>
      </c>
      <c r="V314" s="306">
        <f t="shared" ca="1" si="119"/>
        <v>1.1863238425537803</v>
      </c>
      <c r="W314" s="304">
        <f t="shared" ca="1" si="120"/>
        <v>371.35789781779613</v>
      </c>
      <c r="Y314" s="314" t="str">
        <f t="shared" ca="1" si="138"/>
        <v/>
      </c>
      <c r="Z314" s="315" t="str">
        <f t="shared" ca="1" si="139"/>
        <v/>
      </c>
      <c r="AA314" s="316" t="str">
        <f t="shared" ca="1" si="140"/>
        <v/>
      </c>
      <c r="AC314" s="310" t="e">
        <f t="shared" ca="1" si="141"/>
        <v>#N/A</v>
      </c>
      <c r="AD314" s="323" t="e">
        <f t="shared" ca="1" si="142"/>
        <v>#N/A</v>
      </c>
      <c r="AE314" s="324">
        <f t="shared" ca="1" si="121"/>
        <v>320.78774956464389</v>
      </c>
      <c r="AG314" s="306">
        <f t="shared" ca="1" si="143"/>
        <v>82.507396654222219</v>
      </c>
      <c r="AH314" s="304">
        <f t="shared" ca="1" si="144"/>
        <v>91.713959525567702</v>
      </c>
    </row>
    <row r="315" spans="1:34" x14ac:dyDescent="0.2">
      <c r="A315" s="347">
        <f t="shared" ca="1" si="122"/>
        <v>0.01</v>
      </c>
      <c r="B315" s="304">
        <f t="shared" ca="1" si="123"/>
        <v>3.1099999999999777</v>
      </c>
      <c r="D315" s="306">
        <f t="shared" ca="1" si="124"/>
        <v>31.663344481912514</v>
      </c>
      <c r="E315" s="307">
        <f t="shared" ca="1" si="125"/>
        <v>76.205439521628477</v>
      </c>
      <c r="F315" s="304">
        <f t="shared" ca="1" si="126"/>
        <v>82.521732873618419</v>
      </c>
      <c r="G315" s="306">
        <f t="shared" ca="1" si="127"/>
        <v>80.367658550332024</v>
      </c>
      <c r="H315" s="307">
        <f t="shared" ca="1" si="128"/>
        <v>218.22563006205652</v>
      </c>
      <c r="I315" s="304">
        <f t="shared" ca="1" si="129"/>
        <v>232.55404996869933</v>
      </c>
      <c r="J315" s="306">
        <f t="shared" ca="1" si="130"/>
        <v>111.28801347954483</v>
      </c>
      <c r="K315" s="307">
        <f t="shared" ca="1" si="131"/>
        <v>322.96619559328838</v>
      </c>
      <c r="L315" s="304">
        <f t="shared" ca="1" si="116"/>
        <v>341.60237914895373</v>
      </c>
      <c r="M315" s="306">
        <f t="shared" ca="1" si="132"/>
        <v>1.2179320624674439</v>
      </c>
      <c r="N315" s="304">
        <f t="shared" ca="1" si="133"/>
        <v>69.782366913048278</v>
      </c>
      <c r="P315" s="310">
        <f t="shared" ca="1" si="134"/>
        <v>11</v>
      </c>
      <c r="Q315" s="304">
        <f t="shared" ca="1" si="135"/>
        <v>2206.3206805349178</v>
      </c>
      <c r="R315" s="306">
        <f t="shared" ca="1" si="136"/>
        <v>1.3268241946346084</v>
      </c>
      <c r="S315" s="307">
        <f t="shared" ca="1" si="137"/>
        <v>20.019627765113608</v>
      </c>
      <c r="T315" s="304">
        <f t="shared" ca="1" si="117"/>
        <v>196.39254837576451</v>
      </c>
      <c r="U315" s="311">
        <f t="shared" ca="1" si="118"/>
        <v>0</v>
      </c>
      <c r="V315" s="306">
        <f t="shared" ca="1" si="119"/>
        <v>1.1860653695140657</v>
      </c>
      <c r="W315" s="304">
        <f t="shared" ca="1" si="120"/>
        <v>373.92379103138552</v>
      </c>
      <c r="Y315" s="314" t="str">
        <f t="shared" ca="1" si="138"/>
        <v/>
      </c>
      <c r="Z315" s="315" t="str">
        <f t="shared" ca="1" si="139"/>
        <v/>
      </c>
      <c r="AA315" s="316" t="str">
        <f t="shared" ca="1" si="140"/>
        <v/>
      </c>
      <c r="AC315" s="310" t="e">
        <f t="shared" ca="1" si="141"/>
        <v>#N/A</v>
      </c>
      <c r="AD315" s="323" t="e">
        <f t="shared" ca="1" si="142"/>
        <v>#N/A</v>
      </c>
      <c r="AE315" s="324">
        <f t="shared" ca="1" si="121"/>
        <v>322.96619559328838</v>
      </c>
      <c r="AG315" s="306">
        <f t="shared" ca="1" si="143"/>
        <v>82.452119297081339</v>
      </c>
      <c r="AH315" s="304">
        <f t="shared" ca="1" si="144"/>
        <v>91.658186867727139</v>
      </c>
    </row>
    <row r="316" spans="1:34" x14ac:dyDescent="0.2">
      <c r="A316" s="347">
        <f t="shared" ca="1" si="122"/>
        <v>0.01</v>
      </c>
      <c r="B316" s="304">
        <f t="shared" ca="1" si="123"/>
        <v>3.1199999999999775</v>
      </c>
      <c r="D316" s="306">
        <f t="shared" ca="1" si="124"/>
        <v>31.656473455870209</v>
      </c>
      <c r="E316" s="307">
        <f t="shared" ca="1" si="125"/>
        <v>76.148132787004087</v>
      </c>
      <c r="F316" s="304">
        <f t="shared" ca="1" si="126"/>
        <v>82.466177543338475</v>
      </c>
      <c r="G316" s="306">
        <f t="shared" ca="1" si="127"/>
        <v>80.68422328489072</v>
      </c>
      <c r="H316" s="307">
        <f t="shared" ca="1" si="128"/>
        <v>218.98711138992655</v>
      </c>
      <c r="I316" s="304">
        <f t="shared" ca="1" si="129"/>
        <v>233.37801704957175</v>
      </c>
      <c r="J316" s="306">
        <f t="shared" ca="1" si="130"/>
        <v>112.09327288872095</v>
      </c>
      <c r="K316" s="307">
        <f t="shared" ca="1" si="131"/>
        <v>325.15225930054828</v>
      </c>
      <c r="L316" s="304">
        <f t="shared" ca="1" si="116"/>
        <v>343.93152451491886</v>
      </c>
      <c r="M316" s="306">
        <f t="shared" ca="1" si="132"/>
        <v>1.2177867956332884</v>
      </c>
      <c r="N316" s="304">
        <f t="shared" ca="1" si="133"/>
        <v>69.774043736547938</v>
      </c>
      <c r="P316" s="310">
        <f t="shared" ca="1" si="134"/>
        <v>11</v>
      </c>
      <c r="Q316" s="304">
        <f t="shared" ca="1" si="135"/>
        <v>2206.5469212481421</v>
      </c>
      <c r="R316" s="306">
        <f t="shared" ca="1" si="136"/>
        <v>1.3269602499482198</v>
      </c>
      <c r="S316" s="307">
        <f t="shared" ca="1" si="137"/>
        <v>20.006358162614127</v>
      </c>
      <c r="T316" s="304">
        <f t="shared" ca="1" si="117"/>
        <v>196.2623735752446</v>
      </c>
      <c r="U316" s="311">
        <f t="shared" ca="1" si="118"/>
        <v>0</v>
      </c>
      <c r="V316" s="306">
        <f t="shared" ca="1" si="119"/>
        <v>1.1858060483324639</v>
      </c>
      <c r="W316" s="304">
        <f t="shared" ca="1" si="120"/>
        <v>376.4958644394186</v>
      </c>
      <c r="Y316" s="314" t="str">
        <f t="shared" ca="1" si="138"/>
        <v/>
      </c>
      <c r="Z316" s="315" t="str">
        <f t="shared" ca="1" si="139"/>
        <v/>
      </c>
      <c r="AA316" s="316" t="str">
        <f t="shared" ca="1" si="140"/>
        <v/>
      </c>
      <c r="AC316" s="310" t="e">
        <f t="shared" ca="1" si="141"/>
        <v>#N/A</v>
      </c>
      <c r="AD316" s="323" t="e">
        <f t="shared" ca="1" si="142"/>
        <v>#N/A</v>
      </c>
      <c r="AE316" s="324">
        <f t="shared" ca="1" si="121"/>
        <v>325.15225930054828</v>
      </c>
      <c r="AG316" s="306">
        <f t="shared" ca="1" si="143"/>
        <v>82.396461844810716</v>
      </c>
      <c r="AH316" s="304">
        <f t="shared" ca="1" si="144"/>
        <v>91.60203547896981</v>
      </c>
    </row>
    <row r="317" spans="1:34" x14ac:dyDescent="0.2">
      <c r="A317" s="347">
        <f t="shared" ca="1" si="122"/>
        <v>0.01</v>
      </c>
      <c r="B317" s="304">
        <f t="shared" ca="1" si="123"/>
        <v>3.1299999999999772</v>
      </c>
      <c r="D317" s="306">
        <f t="shared" ca="1" si="124"/>
        <v>31.64941665899104</v>
      </c>
      <c r="E317" s="307">
        <f t="shared" ca="1" si="125"/>
        <v>76.090490196905208</v>
      </c>
      <c r="F317" s="304">
        <f t="shared" ca="1" si="126"/>
        <v>82.410243739839444</v>
      </c>
      <c r="G317" s="306">
        <f t="shared" ca="1" si="127"/>
        <v>81.000717451480625</v>
      </c>
      <c r="H317" s="307">
        <f t="shared" ca="1" si="128"/>
        <v>219.7480162918956</v>
      </c>
      <c r="I317" s="304">
        <f t="shared" ca="1" si="129"/>
        <v>234.2014237614234</v>
      </c>
      <c r="J317" s="306">
        <f t="shared" ca="1" si="130"/>
        <v>112.9016975924028</v>
      </c>
      <c r="K317" s="307">
        <f t="shared" ca="1" si="131"/>
        <v>327.34593493895738</v>
      </c>
      <c r="L317" s="304">
        <f t="shared" ca="1" si="116"/>
        <v>346.26890481287296</v>
      </c>
      <c r="M317" s="306">
        <f t="shared" ca="1" si="132"/>
        <v>1.2176419824317268</v>
      </c>
      <c r="N317" s="304">
        <f t="shared" ca="1" si="133"/>
        <v>69.765746551280685</v>
      </c>
      <c r="P317" s="310">
        <f t="shared" ca="1" si="134"/>
        <v>11</v>
      </c>
      <c r="Q317" s="304">
        <f t="shared" ca="1" si="135"/>
        <v>2206.7731619613664</v>
      </c>
      <c r="R317" s="306">
        <f t="shared" ca="1" si="136"/>
        <v>1.3270963052618312</v>
      </c>
      <c r="S317" s="307">
        <f t="shared" ca="1" si="137"/>
        <v>19.993087199561508</v>
      </c>
      <c r="T317" s="304">
        <f t="shared" ca="1" si="117"/>
        <v>196.1321854276984</v>
      </c>
      <c r="U317" s="311">
        <f t="shared" ca="1" si="118"/>
        <v>0</v>
      </c>
      <c r="V317" s="306">
        <f t="shared" ca="1" si="119"/>
        <v>1.1855458802557222</v>
      </c>
      <c r="W317" s="304">
        <f t="shared" ca="1" si="120"/>
        <v>379.07407647984718</v>
      </c>
      <c r="Y317" s="314" t="str">
        <f t="shared" ca="1" si="138"/>
        <v/>
      </c>
      <c r="Z317" s="315" t="str">
        <f t="shared" ca="1" si="139"/>
        <v/>
      </c>
      <c r="AA317" s="316" t="str">
        <f t="shared" ca="1" si="140"/>
        <v/>
      </c>
      <c r="AC317" s="310" t="e">
        <f t="shared" ca="1" si="141"/>
        <v>#N/A</v>
      </c>
      <c r="AD317" s="323" t="e">
        <f t="shared" ca="1" si="142"/>
        <v>#N/A</v>
      </c>
      <c r="AE317" s="324">
        <f t="shared" ca="1" si="121"/>
        <v>327.34593493895738</v>
      </c>
      <c r="AG317" s="306">
        <f t="shared" ca="1" si="143"/>
        <v>82.340425614862482</v>
      </c>
      <c r="AH317" s="304">
        <f t="shared" ca="1" si="144"/>
        <v>91.545506667028874</v>
      </c>
    </row>
    <row r="318" spans="1:34" x14ac:dyDescent="0.2">
      <c r="A318" s="347">
        <f t="shared" ca="1" si="122"/>
        <v>0.01</v>
      </c>
      <c r="B318" s="304">
        <f t="shared" ca="1" si="123"/>
        <v>3.139999999999977</v>
      </c>
      <c r="D318" s="306">
        <f t="shared" ca="1" si="124"/>
        <v>31.642174762391864</v>
      </c>
      <c r="E318" s="307">
        <f t="shared" ca="1" si="125"/>
        <v>76.032512930359189</v>
      </c>
      <c r="F318" s="304">
        <f t="shared" ca="1" si="126"/>
        <v>82.353932791330536</v>
      </c>
      <c r="G318" s="306">
        <f t="shared" ca="1" si="127"/>
        <v>81.317139199104545</v>
      </c>
      <c r="H318" s="307">
        <f t="shared" ca="1" si="128"/>
        <v>220.50834142119919</v>
      </c>
      <c r="I318" s="304">
        <f t="shared" ca="1" si="129"/>
        <v>235.02426632978708</v>
      </c>
      <c r="J318" s="306">
        <f t="shared" ca="1" si="130"/>
        <v>113.71328687565573</v>
      </c>
      <c r="K318" s="307">
        <f t="shared" ca="1" si="131"/>
        <v>329.54721672752288</v>
      </c>
      <c r="L318" s="304">
        <f t="shared" ca="1" si="116"/>
        <v>348.61451442090316</v>
      </c>
      <c r="M318" s="306">
        <f t="shared" ca="1" si="132"/>
        <v>1.2174976195183509</v>
      </c>
      <c r="N318" s="304">
        <f t="shared" ca="1" si="133"/>
        <v>69.757475165626019</v>
      </c>
      <c r="P318" s="310">
        <f t="shared" ca="1" si="134"/>
        <v>11</v>
      </c>
      <c r="Q318" s="304">
        <f t="shared" ca="1" si="135"/>
        <v>2206.9994026745908</v>
      </c>
      <c r="R318" s="306">
        <f t="shared" ca="1" si="136"/>
        <v>1.3272323605754426</v>
      </c>
      <c r="S318" s="307">
        <f t="shared" ca="1" si="137"/>
        <v>19.979814875955753</v>
      </c>
      <c r="T318" s="304">
        <f t="shared" ca="1" si="117"/>
        <v>196.00198393312596</v>
      </c>
      <c r="U318" s="311">
        <f t="shared" ca="1" si="118"/>
        <v>0</v>
      </c>
      <c r="V318" s="306">
        <f t="shared" ca="1" si="119"/>
        <v>1.1852848665356357</v>
      </c>
      <c r="W318" s="304">
        <f t="shared" ca="1" si="120"/>
        <v>381.65838548202271</v>
      </c>
      <c r="Y318" s="314" t="str">
        <f t="shared" ca="1" si="138"/>
        <v/>
      </c>
      <c r="Z318" s="315" t="str">
        <f t="shared" ca="1" si="139"/>
        <v/>
      </c>
      <c r="AA318" s="316" t="str">
        <f t="shared" ca="1" si="140"/>
        <v/>
      </c>
      <c r="AC318" s="310" t="e">
        <f t="shared" ca="1" si="141"/>
        <v>#N/A</v>
      </c>
      <c r="AD318" s="323" t="e">
        <f t="shared" ca="1" si="142"/>
        <v>#N/A</v>
      </c>
      <c r="AE318" s="324">
        <f t="shared" ca="1" si="121"/>
        <v>329.54721672752288</v>
      </c>
      <c r="AG318" s="306">
        <f t="shared" ca="1" si="143"/>
        <v>82.284011933438322</v>
      </c>
      <c r="AH318" s="304">
        <f t="shared" ca="1" si="144"/>
        <v>91.488601748483575</v>
      </c>
    </row>
    <row r="319" spans="1:34" x14ac:dyDescent="0.2">
      <c r="A319" s="347">
        <f t="shared" ca="1" si="122"/>
        <v>0.01</v>
      </c>
      <c r="B319" s="304">
        <f t="shared" ca="1" si="123"/>
        <v>3.1499999999999768</v>
      </c>
      <c r="D319" s="306">
        <f t="shared" ca="1" si="124"/>
        <v>31.6347484381016</v>
      </c>
      <c r="E319" s="307">
        <f t="shared" ca="1" si="125"/>
        <v>75.974202175172849</v>
      </c>
      <c r="F319" s="304">
        <f t="shared" ca="1" si="126"/>
        <v>82.297246034700393</v>
      </c>
      <c r="G319" s="306">
        <f t="shared" ca="1" si="127"/>
        <v>81.633486683485557</v>
      </c>
      <c r="H319" s="307">
        <f t="shared" ca="1" si="128"/>
        <v>221.26808344295091</v>
      </c>
      <c r="I319" s="304">
        <f t="shared" ca="1" si="129"/>
        <v>235.84654099354415</v>
      </c>
      <c r="J319" s="306">
        <f t="shared" ca="1" si="130"/>
        <v>114.52804000506868</v>
      </c>
      <c r="K319" s="307">
        <f t="shared" ca="1" si="131"/>
        <v>331.7560988518436</v>
      </c>
      <c r="L319" s="304">
        <f t="shared" ca="1" si="116"/>
        <v>350.96834767938384</v>
      </c>
      <c r="M319" s="306">
        <f t="shared" ca="1" si="132"/>
        <v>1.2173537035833613</v>
      </c>
      <c r="N319" s="304">
        <f t="shared" ca="1" si="133"/>
        <v>69.749229389946436</v>
      </c>
      <c r="P319" s="310">
        <f t="shared" ca="1" si="134"/>
        <v>11</v>
      </c>
      <c r="Q319" s="304">
        <f t="shared" ca="1" si="135"/>
        <v>2207.2256433878151</v>
      </c>
      <c r="R319" s="306">
        <f t="shared" ca="1" si="136"/>
        <v>1.327368415889054</v>
      </c>
      <c r="S319" s="307">
        <f t="shared" ca="1" si="137"/>
        <v>19.966541191796864</v>
      </c>
      <c r="T319" s="304">
        <f t="shared" ca="1" si="117"/>
        <v>195.87176909152726</v>
      </c>
      <c r="U319" s="311">
        <f t="shared" ca="1" si="118"/>
        <v>0</v>
      </c>
      <c r="V319" s="306">
        <f t="shared" ca="1" si="119"/>
        <v>1.1850230084290201</v>
      </c>
      <c r="W319" s="304">
        <f t="shared" ca="1" si="120"/>
        <v>384.24874966850649</v>
      </c>
      <c r="Y319" s="314" t="str">
        <f t="shared" ca="1" si="138"/>
        <v/>
      </c>
      <c r="Z319" s="315" t="str">
        <f t="shared" ca="1" si="139"/>
        <v/>
      </c>
      <c r="AA319" s="316" t="str">
        <f t="shared" ca="1" si="140"/>
        <v/>
      </c>
      <c r="AC319" s="310" t="e">
        <f t="shared" ca="1" si="141"/>
        <v>#N/A</v>
      </c>
      <c r="AD319" s="323" t="e">
        <f t="shared" ca="1" si="142"/>
        <v>#N/A</v>
      </c>
      <c r="AE319" s="324">
        <f t="shared" ca="1" si="121"/>
        <v>331.7560988518436</v>
      </c>
      <c r="AG319" s="306">
        <f t="shared" ca="1" si="143"/>
        <v>82.227222135430537</v>
      </c>
      <c r="AH319" s="304">
        <f t="shared" ca="1" si="144"/>
        <v>91.431322048698945</v>
      </c>
    </row>
    <row r="320" spans="1:34" x14ac:dyDescent="0.2">
      <c r="A320" s="347">
        <f t="shared" ca="1" si="122"/>
        <v>0.01</v>
      </c>
      <c r="B320" s="304">
        <f t="shared" ca="1" si="123"/>
        <v>3.1599999999999766</v>
      </c>
      <c r="D320" s="306">
        <f t="shared" ca="1" si="124"/>
        <v>31.627138359080956</v>
      </c>
      <c r="E320" s="307">
        <f t="shared" ca="1" si="125"/>
        <v>75.915559127864483</v>
      </c>
      <c r="F320" s="304">
        <f t="shared" ca="1" si="126"/>
        <v>82.240184815458306</v>
      </c>
      <c r="G320" s="306">
        <f t="shared" ca="1" si="127"/>
        <v>81.949758067076374</v>
      </c>
      <c r="H320" s="307">
        <f t="shared" ca="1" si="128"/>
        <v>222.02723903422955</v>
      </c>
      <c r="I320" s="304">
        <f t="shared" ca="1" si="129"/>
        <v>236.66824400501065</v>
      </c>
      <c r="J320" s="306">
        <f t="shared" ca="1" si="130"/>
        <v>115.34595622882148</v>
      </c>
      <c r="K320" s="307">
        <f t="shared" ca="1" si="131"/>
        <v>333.97257546422952</v>
      </c>
      <c r="L320" s="304">
        <f t="shared" ca="1" si="116"/>
        <v>353.33039889111109</v>
      </c>
      <c r="M320" s="306">
        <f t="shared" ca="1" si="132"/>
        <v>1.2172102313510889</v>
      </c>
      <c r="N320" s="304">
        <f t="shared" ca="1" si="133"/>
        <v>69.741009036559916</v>
      </c>
      <c r="P320" s="310">
        <f t="shared" ca="1" si="134"/>
        <v>11</v>
      </c>
      <c r="Q320" s="304">
        <f t="shared" ca="1" si="135"/>
        <v>2207.4518841010395</v>
      </c>
      <c r="R320" s="306">
        <f t="shared" ca="1" si="136"/>
        <v>1.3275044712026653</v>
      </c>
      <c r="S320" s="307">
        <f t="shared" ca="1" si="137"/>
        <v>19.953266147084836</v>
      </c>
      <c r="T320" s="304">
        <f t="shared" ca="1" si="117"/>
        <v>195.74154090290224</v>
      </c>
      <c r="U320" s="311">
        <f t="shared" ca="1" si="118"/>
        <v>0</v>
      </c>
      <c r="V320" s="306">
        <f t="shared" ca="1" si="119"/>
        <v>1.184760307197686</v>
      </c>
      <c r="W320" s="304">
        <f t="shared" ca="1" si="120"/>
        <v>386.84512715688339</v>
      </c>
      <c r="Y320" s="314" t="str">
        <f t="shared" ca="1" si="138"/>
        <v/>
      </c>
      <c r="Z320" s="315" t="str">
        <f t="shared" ca="1" si="139"/>
        <v/>
      </c>
      <c r="AA320" s="316" t="str">
        <f t="shared" ca="1" si="140"/>
        <v/>
      </c>
      <c r="AC320" s="310" t="e">
        <f t="shared" ca="1" si="141"/>
        <v>#N/A</v>
      </c>
      <c r="AD320" s="323" t="e">
        <f t="shared" ca="1" si="142"/>
        <v>#N/A</v>
      </c>
      <c r="AE320" s="324">
        <f t="shared" ca="1" si="121"/>
        <v>333.97257546422952</v>
      </c>
      <c r="AG320" s="306">
        <f t="shared" ca="1" si="143"/>
        <v>82.17005756436285</v>
      </c>
      <c r="AH320" s="304">
        <f t="shared" ca="1" si="144"/>
        <v>91.373668901765356</v>
      </c>
    </row>
    <row r="321" spans="1:34" x14ac:dyDescent="0.2">
      <c r="A321" s="347">
        <f t="shared" ca="1" si="122"/>
        <v>0.01</v>
      </c>
      <c r="B321" s="304">
        <f t="shared" ca="1" si="123"/>
        <v>3.1699999999999764</v>
      </c>
      <c r="D321" s="306">
        <f t="shared" ca="1" si="124"/>
        <v>31.619345199241263</v>
      </c>
      <c r="E321" s="307">
        <f t="shared" ca="1" si="125"/>
        <v>75.856584993595177</v>
      </c>
      <c r="F321" s="304">
        <f t="shared" ca="1" si="126"/>
        <v>82.182750487674184</v>
      </c>
      <c r="G321" s="306">
        <f t="shared" ca="1" si="127"/>
        <v>82.265951519068793</v>
      </c>
      <c r="H321" s="307">
        <f t="shared" ca="1" si="128"/>
        <v>222.78580488416551</v>
      </c>
      <c r="I321" s="304">
        <f t="shared" ca="1" si="129"/>
        <v>237.48937163002313</v>
      </c>
      <c r="J321" s="306">
        <f t="shared" ca="1" si="130"/>
        <v>116.1670347767522</v>
      </c>
      <c r="K321" s="307">
        <f t="shared" ca="1" si="131"/>
        <v>336.1966406838215</v>
      </c>
      <c r="L321" s="304">
        <f t="shared" ca="1" si="116"/>
        <v>355.70066232143813</v>
      </c>
      <c r="M321" s="306">
        <f t="shared" ca="1" si="132"/>
        <v>1.2170671995795248</v>
      </c>
      <c r="N321" s="304">
        <f t="shared" ca="1" si="133"/>
        <v>69.73281391971301</v>
      </c>
      <c r="P321" s="310">
        <f t="shared" ca="1" si="134"/>
        <v>11</v>
      </c>
      <c r="Q321" s="304">
        <f t="shared" ca="1" si="135"/>
        <v>2207.6781248142638</v>
      </c>
      <c r="R321" s="306">
        <f t="shared" ca="1" si="136"/>
        <v>1.3276405265162767</v>
      </c>
      <c r="S321" s="307">
        <f t="shared" ca="1" si="137"/>
        <v>19.939989741819673</v>
      </c>
      <c r="T321" s="304">
        <f t="shared" ca="1" si="117"/>
        <v>195.61129936725101</v>
      </c>
      <c r="U321" s="311">
        <f t="shared" ca="1" si="118"/>
        <v>0</v>
      </c>
      <c r="V321" s="306">
        <f t="shared" ca="1" si="119"/>
        <v>1.1844967641084108</v>
      </c>
      <c r="W321" s="304">
        <f t="shared" ca="1" si="120"/>
        <v>389.44747596157833</v>
      </c>
      <c r="Y321" s="314" t="str">
        <f t="shared" ca="1" si="138"/>
        <v/>
      </c>
      <c r="Z321" s="315" t="str">
        <f t="shared" ca="1" si="139"/>
        <v/>
      </c>
      <c r="AA321" s="316" t="str">
        <f t="shared" ca="1" si="140"/>
        <v/>
      </c>
      <c r="AC321" s="310" t="e">
        <f t="shared" ca="1" si="141"/>
        <v>#N/A</v>
      </c>
      <c r="AD321" s="323" t="e">
        <f t="shared" ca="1" si="142"/>
        <v>#N/A</v>
      </c>
      <c r="AE321" s="324">
        <f t="shared" ca="1" si="121"/>
        <v>336.1966406838215</v>
      </c>
      <c r="AG321" s="306">
        <f t="shared" ca="1" si="143"/>
        <v>82.112519572330399</v>
      </c>
      <c r="AH321" s="304">
        <f t="shared" ca="1" si="144"/>
        <v>91.315643650437295</v>
      </c>
    </row>
    <row r="322" spans="1:34" x14ac:dyDescent="0.2">
      <c r="A322" s="347">
        <f t="shared" ca="1" si="122"/>
        <v>0.01</v>
      </c>
      <c r="B322" s="304">
        <f t="shared" ca="1" si="123"/>
        <v>3.1799999999999762</v>
      </c>
      <c r="D322" s="306">
        <f t="shared" ca="1" si="124"/>
        <v>31.611369633462626</v>
      </c>
      <c r="E322" s="307">
        <f t="shared" ca="1" si="125"/>
        <v>75.797280986100418</v>
      </c>
      <c r="F322" s="304">
        <f t="shared" ca="1" si="126"/>
        <v>82.124944413918868</v>
      </c>
      <c r="G322" s="306">
        <f t="shared" ca="1" si="127"/>
        <v>82.582065215403418</v>
      </c>
      <c r="H322" s="307">
        <f t="shared" ca="1" si="128"/>
        <v>223.54377769402652</v>
      </c>
      <c r="I322" s="304">
        <f t="shared" ca="1" si="129"/>
        <v>238.30992014802382</v>
      </c>
      <c r="J322" s="306">
        <f t="shared" ca="1" si="130"/>
        <v>116.99127486042457</v>
      </c>
      <c r="K322" s="307">
        <f t="shared" ca="1" si="131"/>
        <v>338.42828859671243</v>
      </c>
      <c r="L322" s="304">
        <f t="shared" ca="1" si="116"/>
        <v>358.079132198411</v>
      </c>
      <c r="M322" s="306">
        <f t="shared" ca="1" si="132"/>
        <v>1.2169246050598592</v>
      </c>
      <c r="N322" s="304">
        <f t="shared" ca="1" si="133"/>
        <v>69.724643855554476</v>
      </c>
      <c r="P322" s="310">
        <f t="shared" ca="1" si="134"/>
        <v>11</v>
      </c>
      <c r="Q322" s="304">
        <f t="shared" ca="1" si="135"/>
        <v>2207.9043655274886</v>
      </c>
      <c r="R322" s="306">
        <f t="shared" ca="1" si="136"/>
        <v>1.3277765818298883</v>
      </c>
      <c r="S322" s="307">
        <f t="shared" ca="1" si="137"/>
        <v>19.926711976001375</v>
      </c>
      <c r="T322" s="304">
        <f t="shared" ca="1" si="117"/>
        <v>195.48104448457349</v>
      </c>
      <c r="U322" s="311">
        <f t="shared" ca="1" si="118"/>
        <v>0</v>
      </c>
      <c r="V322" s="306">
        <f t="shared" ca="1" si="119"/>
        <v>1.1842323804329153</v>
      </c>
      <c r="W322" s="304">
        <f t="shared" ca="1" si="120"/>
        <v>392.05575399567749</v>
      </c>
      <c r="Y322" s="314" t="str">
        <f t="shared" ca="1" si="138"/>
        <v/>
      </c>
      <c r="Z322" s="315" t="str">
        <f t="shared" ca="1" si="139"/>
        <v/>
      </c>
      <c r="AA322" s="316" t="str">
        <f t="shared" ca="1" si="140"/>
        <v/>
      </c>
      <c r="AC322" s="310" t="e">
        <f t="shared" ca="1" si="141"/>
        <v>#N/A</v>
      </c>
      <c r="AD322" s="323" t="e">
        <f t="shared" ca="1" si="142"/>
        <v>#N/A</v>
      </c>
      <c r="AE322" s="324">
        <f t="shared" ca="1" si="121"/>
        <v>338.42828859671243</v>
      </c>
      <c r="AG322" s="306">
        <f t="shared" ca="1" si="143"/>
        <v>82.054609519939874</v>
      </c>
      <c r="AH322" s="304">
        <f t="shared" ca="1" si="144"/>
        <v>91.257247646072216</v>
      </c>
    </row>
    <row r="323" spans="1:34" x14ac:dyDescent="0.2">
      <c r="A323" s="347">
        <f t="shared" ca="1" si="122"/>
        <v>0.01</v>
      </c>
      <c r="B323" s="304">
        <f t="shared" ca="1" si="123"/>
        <v>3.189999999999976</v>
      </c>
      <c r="D323" s="306">
        <f t="shared" ca="1" si="124"/>
        <v>31.603212337610874</v>
      </c>
      <c r="E323" s="307">
        <f t="shared" ca="1" si="125"/>
        <v>75.737648327621073</v>
      </c>
      <c r="F323" s="304">
        <f t="shared" ca="1" si="126"/>
        <v>82.06676796520334</v>
      </c>
      <c r="G323" s="306">
        <f t="shared" ca="1" si="127"/>
        <v>82.898097338779522</v>
      </c>
      <c r="H323" s="307">
        <f t="shared" ca="1" si="128"/>
        <v>224.30115417730272</v>
      </c>
      <c r="I323" s="304">
        <f t="shared" ca="1" si="129"/>
        <v>239.12988585214498</v>
      </c>
      <c r="J323" s="306">
        <f t="shared" ca="1" si="130"/>
        <v>117.81867567319549</v>
      </c>
      <c r="K323" s="307">
        <f t="shared" ca="1" si="131"/>
        <v>340.66751325606907</v>
      </c>
      <c r="L323" s="304">
        <f t="shared" ca="1" si="116"/>
        <v>360.46580271290594</v>
      </c>
      <c r="M323" s="306">
        <f t="shared" ca="1" si="132"/>
        <v>1.216782444616026</v>
      </c>
      <c r="N323" s="304">
        <f t="shared" ca="1" si="133"/>
        <v>69.716498662109132</v>
      </c>
      <c r="P323" s="310">
        <f t="shared" ca="1" si="134"/>
        <v>11</v>
      </c>
      <c r="Q323" s="304">
        <f t="shared" ca="1" si="135"/>
        <v>2208.130606240713</v>
      </c>
      <c r="R323" s="306">
        <f t="shared" ca="1" si="136"/>
        <v>1.3279126371434997</v>
      </c>
      <c r="S323" s="307">
        <f t="shared" ca="1" si="137"/>
        <v>19.913432849629938</v>
      </c>
      <c r="T323" s="304">
        <f t="shared" ca="1" si="117"/>
        <v>195.35077625486971</v>
      </c>
      <c r="U323" s="311">
        <f t="shared" ca="1" si="118"/>
        <v>0</v>
      </c>
      <c r="V323" s="306">
        <f t="shared" ca="1" si="119"/>
        <v>1.1839671574478352</v>
      </c>
      <c r="W323" s="304">
        <f t="shared" ca="1" si="120"/>
        <v>394.66991907274968</v>
      </c>
      <c r="Y323" s="314" t="str">
        <f t="shared" ca="1" si="138"/>
        <v/>
      </c>
      <c r="Z323" s="315" t="str">
        <f t="shared" ca="1" si="139"/>
        <v/>
      </c>
      <c r="AA323" s="316" t="str">
        <f t="shared" ca="1" si="140"/>
        <v/>
      </c>
      <c r="AC323" s="310" t="e">
        <f t="shared" ca="1" si="141"/>
        <v>#N/A</v>
      </c>
      <c r="AD323" s="323" t="e">
        <f t="shared" ca="1" si="142"/>
        <v>#N/A</v>
      </c>
      <c r="AE323" s="324">
        <f t="shared" ca="1" si="121"/>
        <v>340.66751325606907</v>
      </c>
      <c r="AG323" s="306">
        <f t="shared" ca="1" si="143"/>
        <v>81.996328776248589</v>
      </c>
      <c r="AH323" s="304">
        <f t="shared" ca="1" si="144"/>
        <v>91.198482248568425</v>
      </c>
    </row>
    <row r="324" spans="1:34" x14ac:dyDescent="0.2">
      <c r="A324" s="347">
        <f t="shared" ca="1" si="122"/>
        <v>0.01</v>
      </c>
      <c r="B324" s="304">
        <f t="shared" ca="1" si="123"/>
        <v>3.1999999999999758</v>
      </c>
      <c r="D324" s="306">
        <f t="shared" ca="1" si="124"/>
        <v>31.594873988554195</v>
      </c>
      <c r="E324" s="307">
        <f t="shared" ca="1" si="125"/>
        <v>75.677688248834798</v>
      </c>
      <c r="F324" s="304">
        <f t="shared" ca="1" si="126"/>
        <v>82.008222520918267</v>
      </c>
      <c r="G324" s="306">
        <f t="shared" ca="1" si="127"/>
        <v>83.214046078665064</v>
      </c>
      <c r="H324" s="307">
        <f t="shared" ca="1" si="128"/>
        <v>225.05793105979106</v>
      </c>
      <c r="I324" s="304">
        <f t="shared" ca="1" si="129"/>
        <v>239.94926504929299</v>
      </c>
      <c r="J324" s="306">
        <f t="shared" ca="1" si="130"/>
        <v>118.64923639028271</v>
      </c>
      <c r="K324" s="307">
        <f t="shared" ca="1" si="131"/>
        <v>342.91430868225456</v>
      </c>
      <c r="L324" s="304">
        <f t="shared" ref="L324:L387" ca="1" si="145">SQRT(pos_x^2+pos_z^2)</f>
        <v>362.86066801876689</v>
      </c>
      <c r="M324" s="306">
        <f t="shared" ca="1" si="132"/>
        <v>1.216640715104258</v>
      </c>
      <c r="N324" s="304">
        <f t="shared" ca="1" si="133"/>
        <v>69.708378159252376</v>
      </c>
      <c r="P324" s="310">
        <f t="shared" ca="1" si="134"/>
        <v>11</v>
      </c>
      <c r="Q324" s="304">
        <f t="shared" ca="1" si="135"/>
        <v>2208.3568469539373</v>
      </c>
      <c r="R324" s="306">
        <f t="shared" ca="1" si="136"/>
        <v>1.3280486924571111</v>
      </c>
      <c r="S324" s="307">
        <f t="shared" ca="1" si="137"/>
        <v>19.900152362705366</v>
      </c>
      <c r="T324" s="304">
        <f t="shared" ref="T324:T387" ca="1" si="146">m*g</f>
        <v>195.22049467813966</v>
      </c>
      <c r="U324" s="311">
        <f t="shared" ref="U324:U387" ca="1" si="147">IF(pos_xz&lt;L_rampe,Poids*COS(Beta),0)</f>
        <v>0</v>
      </c>
      <c r="V324" s="306">
        <f t="shared" ref="V324:V387" ca="1" si="148">Rho_moyen*(20000-Alt_rampe-pos_z)/(20000+Alt_rampe+pos_z)</f>
        <v>1.1837010964346955</v>
      </c>
      <c r="W324" s="304">
        <f t="shared" ref="W324:W387" ca="1" si="149">1/2*Rho*Sref*Cx*vit_xz^2</f>
        <v>397.28992890867323</v>
      </c>
      <c r="Y324" s="314" t="str">
        <f t="shared" ca="1" si="138"/>
        <v/>
      </c>
      <c r="Z324" s="315" t="str">
        <f t="shared" ca="1" si="139"/>
        <v/>
      </c>
      <c r="AA324" s="316" t="str">
        <f t="shared" ca="1" si="140"/>
        <v/>
      </c>
      <c r="AC324" s="310" t="e">
        <f t="shared" ca="1" si="141"/>
        <v>#N/A</v>
      </c>
      <c r="AD324" s="323" t="e">
        <f t="shared" ca="1" si="142"/>
        <v>#N/A</v>
      </c>
      <c r="AE324" s="324">
        <f t="shared" ref="AE324:AE387" ca="1" si="150">IF(t&lt;T_para, pos_z, NA())</f>
        <v>342.91430868225456</v>
      </c>
      <c r="AG324" s="306">
        <f t="shared" ca="1" si="143"/>
        <v>81.937678718703864</v>
      </c>
      <c r="AH324" s="304">
        <f t="shared" ca="1" si="144"/>
        <v>91.139348826303262</v>
      </c>
    </row>
    <row r="325" spans="1:34" x14ac:dyDescent="0.2">
      <c r="A325" s="347">
        <f t="shared" ref="A325:A388" ca="1" si="151">IF(B324+0.01&lt;=T_ini+ROUNDUP(Temps_fin_propu,0), 0.01, IF(K324&gt;0, 0.1, 0.0001))</f>
        <v>0.01</v>
      </c>
      <c r="B325" s="304">
        <f t="shared" ref="B325:B388" ca="1" si="152">B324+pas</f>
        <v>3.2099999999999755</v>
      </c>
      <c r="D325" s="306">
        <f t="shared" ref="D325:D388" ca="1" si="153">IF(AND(L324&lt;L_rampe,Poussee&lt;Poids*SIN(M324)),0,(-W324+Poussee)/m*COS(M324)-U324/m*SIN(M324))</f>
        <v>31.586355264178415</v>
      </c>
      <c r="E325" s="307">
        <f t="shared" ref="E325:E388" ca="1" si="154">IF(AND(L324&lt;L_rampe,Poussee&lt;Poids*SIN(M324)),0,(-W324+Poussee)/m*SIN(M324)+U324/m*COS(M324)-Poids/m)</f>
        <v>75.617401988786625</v>
      </c>
      <c r="F325" s="304">
        <f t="shared" ref="F325:F388" ca="1" si="155">SQRT(acc_x^2+acc_z^2)</f>
        <v>81.949309468772483</v>
      </c>
      <c r="G325" s="306">
        <f t="shared" ref="G325:G388" ca="1" si="156">G324+acc_x*pas</f>
        <v>83.52990963130685</v>
      </c>
      <c r="H325" s="307">
        <f t="shared" ref="H325:H388" ca="1" si="157">H324+acc_z*pas</f>
        <v>225.81410507967894</v>
      </c>
      <c r="I325" s="304">
        <f t="shared" ref="I325:I388" ca="1" si="158">SQRT(vit_x^2+vit_z^2)</f>
        <v>240.76805406023152</v>
      </c>
      <c r="J325" s="306">
        <f t="shared" ref="J325:J388" ca="1" si="159">J324+0.5*(vit_x+G324)*pas*(K324&gt;=0)</f>
        <v>119.48295616883257</v>
      </c>
      <c r="K325" s="307">
        <f t="shared" ref="K325:K388" ca="1" si="160">K324+0.5*(vit_z+H324)*pas</f>
        <v>345.1686688629519</v>
      </c>
      <c r="L325" s="304">
        <f t="shared" ca="1" si="145"/>
        <v>365.26372223294408</v>
      </c>
      <c r="M325" s="306">
        <f t="shared" ref="M325:M388" ca="1" si="161">IF(AND(L324&gt;L_rampe,G325&gt;0),ATAN2(G325,H325),$M$4)</f>
        <v>1.2164994134126479</v>
      </c>
      <c r="N325" s="304">
        <f t="shared" ref="N325:N388" ca="1" si="162">DEGREES(Beta)</f>
        <v>69.70028216868505</v>
      </c>
      <c r="P325" s="310">
        <f t="shared" ref="P325:P388" ca="1" si="163">MATCH(t-pas/2-T_ini,CdP_t)</f>
        <v>11</v>
      </c>
      <c r="Q325" s="304">
        <f t="shared" ref="Q325:Q388" ca="1" si="164">(INDEX(CdP,2,i_P+1)-INDEX(CdP,2,i_P+0))/(INDEX(CdP,1,i_P+1)-INDEX(CdP,1,i_P+0))*(t-pas/2-T_ini-INDEX(CdP,1,i_P+0))+INDEX(CdP,2,i_P+0)</f>
        <v>2208.5830876671616</v>
      </c>
      <c r="R325" s="306">
        <f t="shared" ref="R325:R388" ca="1" si="165">Poussee/(g*ISP)</f>
        <v>1.3281847477707225</v>
      </c>
      <c r="S325" s="307">
        <f t="shared" ref="S325:S388" ca="1" si="166">S324-Débit*pas</f>
        <v>19.88687051522766</v>
      </c>
      <c r="T325" s="304">
        <f t="shared" ca="1" si="146"/>
        <v>195.09019975438335</v>
      </c>
      <c r="U325" s="311">
        <f t="shared" ca="1" si="147"/>
        <v>0</v>
      </c>
      <c r="V325" s="306">
        <f t="shared" ca="1" si="148"/>
        <v>1.1834341986798826</v>
      </c>
      <c r="W325" s="304">
        <f t="shared" ca="1" si="149"/>
        <v>399.91574112346314</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f t="shared" ca="1" si="150"/>
        <v>345.1686688629519</v>
      </c>
      <c r="AG325" s="306">
        <f t="shared" ref="AG325:AG388" ca="1" si="172">IF(AND(L324&lt;L_rampe,Poussee&lt;Poids*SIN(M324)),0,(-W324+Poussee)/m-Poids*SIN(M324)/m)</f>
        <v>81.878660733081347</v>
      </c>
      <c r="AH325" s="304">
        <f t="shared" ref="AH325:AH388" ca="1" si="173">IF(AND(L324&lt;L_rampe,Poussee&lt;Poids*SIN(M324)), g*SIN(M324), (-W324+Poussee)/m)</f>
        <v>91.079848756070277</v>
      </c>
    </row>
    <row r="326" spans="1:34" x14ac:dyDescent="0.2">
      <c r="A326" s="347">
        <f t="shared" ca="1" si="151"/>
        <v>0.01</v>
      </c>
      <c r="B326" s="304">
        <f t="shared" ca="1" si="152"/>
        <v>3.2199999999999753</v>
      </c>
      <c r="D326" s="306">
        <f t="shared" ca="1" si="153"/>
        <v>31.57765684340179</v>
      </c>
      <c r="E326" s="307">
        <f t="shared" ca="1" si="154"/>
        <v>75.556790794819804</v>
      </c>
      <c r="F326" s="304">
        <f t="shared" ca="1" si="155"/>
        <v>81.890030204731318</v>
      </c>
      <c r="G326" s="306">
        <f t="shared" ca="1" si="156"/>
        <v>83.845686199740868</v>
      </c>
      <c r="H326" s="307">
        <f t="shared" ca="1" si="157"/>
        <v>226.56967298762714</v>
      </c>
      <c r="I326" s="304">
        <f t="shared" ca="1" si="158"/>
        <v>241.58624921966424</v>
      </c>
      <c r="J326" s="306">
        <f t="shared" ca="1" si="159"/>
        <v>120.31983414798781</v>
      </c>
      <c r="K326" s="307">
        <f t="shared" ca="1" si="160"/>
        <v>347.43058775328842</v>
      </c>
      <c r="L326" s="304">
        <f t="shared" ca="1" si="145"/>
        <v>367.67495943563353</v>
      </c>
      <c r="M326" s="306">
        <f t="shared" ca="1" si="161"/>
        <v>1.2163585364607172</v>
      </c>
      <c r="N326" s="304">
        <f t="shared" ca="1" si="162"/>
        <v>69.692210513908762</v>
      </c>
      <c r="P326" s="310">
        <f t="shared" ca="1" si="163"/>
        <v>11</v>
      </c>
      <c r="Q326" s="304">
        <f t="shared" ca="1" si="164"/>
        <v>2208.809328380386</v>
      </c>
      <c r="R326" s="306">
        <f t="shared" ca="1" si="165"/>
        <v>1.3283208030843339</v>
      </c>
      <c r="S326" s="307">
        <f t="shared" ca="1" si="166"/>
        <v>19.873587307196818</v>
      </c>
      <c r="T326" s="304">
        <f t="shared" ca="1" si="146"/>
        <v>194.95989148360079</v>
      </c>
      <c r="U326" s="311">
        <f t="shared" ca="1" si="147"/>
        <v>0</v>
      </c>
      <c r="V326" s="306">
        <f t="shared" ca="1" si="148"/>
        <v>1.1831664654746197</v>
      </c>
      <c r="W326" s="304">
        <f t="shared" ca="1" si="149"/>
        <v>402.54731324310234</v>
      </c>
      <c r="Y326" s="314" t="str">
        <f t="shared" ca="1" si="167"/>
        <v/>
      </c>
      <c r="Z326" s="315" t="str">
        <f t="shared" ca="1" si="168"/>
        <v/>
      </c>
      <c r="AA326" s="316" t="str">
        <f t="shared" ca="1" si="169"/>
        <v/>
      </c>
      <c r="AC326" s="310" t="e">
        <f t="shared" ca="1" si="170"/>
        <v>#N/A</v>
      </c>
      <c r="AD326" s="323" t="e">
        <f t="shared" ca="1" si="171"/>
        <v>#N/A</v>
      </c>
      <c r="AE326" s="324">
        <f t="shared" ca="1" si="150"/>
        <v>347.43058775328842</v>
      </c>
      <c r="AG326" s="306">
        <f t="shared" ca="1" si="172"/>
        <v>81.81927621342335</v>
      </c>
      <c r="AH326" s="304">
        <f t="shared" ca="1" si="173"/>
        <v>91.019983423016356</v>
      </c>
    </row>
    <row r="327" spans="1:34" x14ac:dyDescent="0.2">
      <c r="A327" s="347">
        <f t="shared" ca="1" si="151"/>
        <v>0.01</v>
      </c>
      <c r="B327" s="304">
        <f t="shared" ca="1" si="152"/>
        <v>3.2299999999999751</v>
      </c>
      <c r="D327" s="306">
        <f t="shared" ca="1" si="153"/>
        <v>31.568779406189041</v>
      </c>
      <c r="E327" s="307">
        <f t="shared" ca="1" si="154"/>
        <v>75.495855922506536</v>
      </c>
      <c r="F327" s="304">
        <f t="shared" ca="1" si="155"/>
        <v>81.830386132954857</v>
      </c>
      <c r="G327" s="306">
        <f t="shared" ca="1" si="156"/>
        <v>84.161373993802755</v>
      </c>
      <c r="H327" s="307">
        <f t="shared" ca="1" si="157"/>
        <v>227.3246315468522</v>
      </c>
      <c r="I327" s="304">
        <f t="shared" ca="1" si="158"/>
        <v>242.40384687631681</v>
      </c>
      <c r="J327" s="306">
        <f t="shared" ca="1" si="159"/>
        <v>121.15986944895552</v>
      </c>
      <c r="K327" s="307">
        <f t="shared" ca="1" si="160"/>
        <v>349.70005927596083</v>
      </c>
      <c r="L327" s="304">
        <f t="shared" ca="1" si="145"/>
        <v>370.09437367041733</v>
      </c>
      <c r="M327" s="306">
        <f t="shared" ca="1" si="161"/>
        <v>1.2162180811989933</v>
      </c>
      <c r="N327" s="304">
        <f t="shared" ca="1" si="162"/>
        <v>69.684163020201581</v>
      </c>
      <c r="P327" s="310">
        <f t="shared" ca="1" si="163"/>
        <v>11</v>
      </c>
      <c r="Q327" s="304">
        <f t="shared" ca="1" si="164"/>
        <v>2209.0355690936103</v>
      </c>
      <c r="R327" s="306">
        <f t="shared" ca="1" si="165"/>
        <v>1.3284568583979453</v>
      </c>
      <c r="S327" s="307">
        <f t="shared" ca="1" si="166"/>
        <v>19.860302738612837</v>
      </c>
      <c r="T327" s="304">
        <f t="shared" ca="1" si="146"/>
        <v>194.82956986579194</v>
      </c>
      <c r="U327" s="311">
        <f t="shared" ca="1" si="147"/>
        <v>0</v>
      </c>
      <c r="V327" s="306">
        <f t="shared" ca="1" si="148"/>
        <v>1.1828978981149372</v>
      </c>
      <c r="W327" s="304">
        <f t="shared" ca="1" si="149"/>
        <v>405.18460270137365</v>
      </c>
      <c r="Y327" s="314" t="str">
        <f t="shared" ca="1" si="167"/>
        <v/>
      </c>
      <c r="Z327" s="315" t="str">
        <f t="shared" ca="1" si="168"/>
        <v/>
      </c>
      <c r="AA327" s="316" t="str">
        <f t="shared" ca="1" si="169"/>
        <v/>
      </c>
      <c r="AC327" s="310" t="e">
        <f t="shared" ca="1" si="170"/>
        <v>#N/A</v>
      </c>
      <c r="AD327" s="323" t="e">
        <f t="shared" ca="1" si="171"/>
        <v>#N/A</v>
      </c>
      <c r="AE327" s="324">
        <f t="shared" ca="1" si="150"/>
        <v>349.70005927596083</v>
      </c>
      <c r="AG327" s="306">
        <f t="shared" ca="1" si="172"/>
        <v>81.759526561976813</v>
      </c>
      <c r="AH327" s="304">
        <f t="shared" ca="1" si="173"/>
        <v>90.959754220578617</v>
      </c>
    </row>
    <row r="328" spans="1:34" x14ac:dyDescent="0.2">
      <c r="A328" s="347">
        <f t="shared" ca="1" si="151"/>
        <v>0.01</v>
      </c>
      <c r="B328" s="304">
        <f t="shared" ca="1" si="152"/>
        <v>3.2399999999999749</v>
      </c>
      <c r="D328" s="306">
        <f t="shared" ca="1" si="153"/>
        <v>31.559723633564332</v>
      </c>
      <c r="E328" s="307">
        <f t="shared" ca="1" si="154"/>
        <v>75.434598635578084</v>
      </c>
      <c r="F328" s="304">
        <f t="shared" ca="1" si="155"/>
        <v>81.77037866573518</v>
      </c>
      <c r="G328" s="306">
        <f t="shared" ca="1" si="156"/>
        <v>84.476971230138403</v>
      </c>
      <c r="H328" s="307">
        <f t="shared" ca="1" si="157"/>
        <v>228.07897753320799</v>
      </c>
      <c r="I328" s="304">
        <f t="shared" ca="1" si="158"/>
        <v>243.2208433930185</v>
      </c>
      <c r="J328" s="306">
        <f t="shared" ca="1" si="159"/>
        <v>122.00306117507523</v>
      </c>
      <c r="K328" s="307">
        <f t="shared" ca="1" si="160"/>
        <v>351.97707732136115</v>
      </c>
      <c r="L328" s="304">
        <f t="shared" ca="1" si="145"/>
        <v>372.5219589444045</v>
      </c>
      <c r="M328" s="306">
        <f t="shared" ca="1" si="161"/>
        <v>1.2160780446085924</v>
      </c>
      <c r="N328" s="304">
        <f t="shared" ca="1" si="162"/>
        <v>69.676139514594198</v>
      </c>
      <c r="P328" s="310">
        <f t="shared" ca="1" si="163"/>
        <v>11</v>
      </c>
      <c r="Q328" s="304">
        <f t="shared" ca="1" si="164"/>
        <v>2209.2618098068347</v>
      </c>
      <c r="R328" s="306">
        <f t="shared" ca="1" si="165"/>
        <v>1.3285929137115566</v>
      </c>
      <c r="S328" s="307">
        <f t="shared" ca="1" si="166"/>
        <v>19.847016809475722</v>
      </c>
      <c r="T328" s="304">
        <f t="shared" ca="1" si="146"/>
        <v>194.69923490095684</v>
      </c>
      <c r="U328" s="311">
        <f t="shared" ca="1" si="147"/>
        <v>0</v>
      </c>
      <c r="V328" s="306">
        <f t="shared" ca="1" si="148"/>
        <v>1.1826284979016481</v>
      </c>
      <c r="W328" s="304">
        <f t="shared" ca="1" si="149"/>
        <v>407.82756684169686</v>
      </c>
      <c r="Y328" s="314" t="str">
        <f t="shared" ca="1" si="167"/>
        <v/>
      </c>
      <c r="Z328" s="315" t="str">
        <f t="shared" ca="1" si="168"/>
        <v/>
      </c>
      <c r="AA328" s="316" t="str">
        <f t="shared" ca="1" si="169"/>
        <v/>
      </c>
      <c r="AC328" s="310" t="e">
        <f t="shared" ca="1" si="170"/>
        <v>#N/A</v>
      </c>
      <c r="AD328" s="323" t="e">
        <f t="shared" ca="1" si="171"/>
        <v>#N/A</v>
      </c>
      <c r="AE328" s="324">
        <f t="shared" ca="1" si="150"/>
        <v>351.97707732136115</v>
      </c>
      <c r="AG328" s="306">
        <f t="shared" ca="1" si="172"/>
        <v>81.69941318913051</v>
      </c>
      <c r="AH328" s="304">
        <f t="shared" ca="1" si="173"/>
        <v>90.899162550420456</v>
      </c>
    </row>
    <row r="329" spans="1:34" x14ac:dyDescent="0.2">
      <c r="A329" s="347">
        <f t="shared" ca="1" si="151"/>
        <v>0.01</v>
      </c>
      <c r="B329" s="304">
        <f t="shared" ca="1" si="152"/>
        <v>3.2499999999999747</v>
      </c>
      <c r="D329" s="306">
        <f t="shared" ca="1" si="153"/>
        <v>31.550490207623817</v>
      </c>
      <c r="E329" s="307">
        <f t="shared" ca="1" si="154"/>
        <v>75.373020205855269</v>
      </c>
      <c r="F329" s="304">
        <f t="shared" ca="1" si="155"/>
        <v>81.710009223433786</v>
      </c>
      <c r="G329" s="306">
        <f t="shared" ca="1" si="156"/>
        <v>84.792476132214645</v>
      </c>
      <c r="H329" s="307">
        <f t="shared" ca="1" si="157"/>
        <v>228.83270773526655</v>
      </c>
      <c r="I329" s="304">
        <f t="shared" ca="1" si="158"/>
        <v>244.03723514678271</v>
      </c>
      <c r="J329" s="306">
        <f t="shared" ca="1" si="159"/>
        <v>122.849408411887</v>
      </c>
      <c r="K329" s="307">
        <f t="shared" ca="1" si="160"/>
        <v>354.26163574770351</v>
      </c>
      <c r="L329" s="304">
        <f t="shared" ca="1" si="145"/>
        <v>374.95770922837312</v>
      </c>
      <c r="M329" s="306">
        <f t="shared" ca="1" si="161"/>
        <v>1.2159384237008097</v>
      </c>
      <c r="N329" s="304">
        <f t="shared" ca="1" si="162"/>
        <v>69.668139825846467</v>
      </c>
      <c r="P329" s="310">
        <f t="shared" ca="1" si="163"/>
        <v>11</v>
      </c>
      <c r="Q329" s="304">
        <f t="shared" ca="1" si="164"/>
        <v>2209.488050520059</v>
      </c>
      <c r="R329" s="306">
        <f t="shared" ca="1" si="165"/>
        <v>1.328728969025168</v>
      </c>
      <c r="S329" s="307">
        <f t="shared" ca="1" si="166"/>
        <v>19.833729519785471</v>
      </c>
      <c r="T329" s="304">
        <f t="shared" ca="1" si="146"/>
        <v>194.56888658909548</v>
      </c>
      <c r="U329" s="311">
        <f t="shared" ca="1" si="147"/>
        <v>0</v>
      </c>
      <c r="V329" s="306">
        <f t="shared" ca="1" si="148"/>
        <v>1.1823582661403191</v>
      </c>
      <c r="W329" s="304">
        <f t="shared" ca="1" si="149"/>
        <v>410.47616291896315</v>
      </c>
      <c r="Y329" s="314" t="str">
        <f t="shared" ca="1" si="167"/>
        <v/>
      </c>
      <c r="Z329" s="315" t="str">
        <f t="shared" ca="1" si="168"/>
        <v/>
      </c>
      <c r="AA329" s="316" t="str">
        <f t="shared" ca="1" si="169"/>
        <v/>
      </c>
      <c r="AC329" s="310" t="e">
        <f t="shared" ca="1" si="170"/>
        <v>#N/A</v>
      </c>
      <c r="AD329" s="323" t="e">
        <f t="shared" ca="1" si="171"/>
        <v>#N/A</v>
      </c>
      <c r="AE329" s="324">
        <f t="shared" ca="1" si="150"/>
        <v>354.26163574770351</v>
      </c>
      <c r="AG329" s="306">
        <f t="shared" ca="1" si="172"/>
        <v>81.63893751335236</v>
      </c>
      <c r="AH329" s="304">
        <f t="shared" ca="1" si="173"/>
        <v>90.838209822367773</v>
      </c>
    </row>
    <row r="330" spans="1:34" x14ac:dyDescent="0.2">
      <c r="A330" s="347">
        <f t="shared" ca="1" si="151"/>
        <v>0.01</v>
      </c>
      <c r="B330" s="304">
        <f t="shared" ca="1" si="152"/>
        <v>3.2599999999999745</v>
      </c>
      <c r="D330" s="306">
        <f t="shared" ca="1" si="153"/>
        <v>31.541079811547267</v>
      </c>
      <c r="E330" s="307">
        <f t="shared" ca="1" si="154"/>
        <v>75.311121913178411</v>
      </c>
      <c r="F330" s="304">
        <f t="shared" ca="1" si="155"/>
        <v>81.64927923441833</v>
      </c>
      <c r="G330" s="306">
        <f t="shared" ca="1" si="156"/>
        <v>85.107886930330125</v>
      </c>
      <c r="H330" s="307">
        <f t="shared" ca="1" si="157"/>
        <v>229.58581895439835</v>
      </c>
      <c r="I330" s="304">
        <f t="shared" ca="1" si="158"/>
        <v>244.8530185288873</v>
      </c>
      <c r="J330" s="306">
        <f t="shared" ca="1" si="159"/>
        <v>123.69891022719972</v>
      </c>
      <c r="K330" s="307">
        <f t="shared" ca="1" si="160"/>
        <v>356.55372838115181</v>
      </c>
      <c r="L330" s="304">
        <f t="shared" ca="1" si="145"/>
        <v>377.40161845691256</v>
      </c>
      <c r="M330" s="306">
        <f t="shared" ca="1" si="161"/>
        <v>1.2157992155167183</v>
      </c>
      <c r="N330" s="304">
        <f t="shared" ca="1" si="162"/>
        <v>69.660163784424356</v>
      </c>
      <c r="P330" s="310">
        <f t="shared" ca="1" si="163"/>
        <v>11</v>
      </c>
      <c r="Q330" s="304">
        <f t="shared" ca="1" si="164"/>
        <v>2209.7142912332833</v>
      </c>
      <c r="R330" s="306">
        <f t="shared" ca="1" si="165"/>
        <v>1.3288650243387794</v>
      </c>
      <c r="S330" s="307">
        <f t="shared" ca="1" si="166"/>
        <v>19.820440869542082</v>
      </c>
      <c r="T330" s="304">
        <f t="shared" ca="1" si="146"/>
        <v>194.43852493020785</v>
      </c>
      <c r="U330" s="311">
        <f t="shared" ca="1" si="147"/>
        <v>0</v>
      </c>
      <c r="V330" s="306">
        <f t="shared" ca="1" si="148"/>
        <v>1.182087204141244</v>
      </c>
      <c r="W330" s="304">
        <f t="shared" ca="1" si="149"/>
        <v>413.13034810137583</v>
      </c>
      <c r="Y330" s="314" t="str">
        <f t="shared" ca="1" si="167"/>
        <v/>
      </c>
      <c r="Z330" s="315" t="str">
        <f t="shared" ca="1" si="168"/>
        <v/>
      </c>
      <c r="AA330" s="316" t="str">
        <f t="shared" ca="1" si="169"/>
        <v/>
      </c>
      <c r="AC330" s="310" t="e">
        <f t="shared" ca="1" si="170"/>
        <v>#N/A</v>
      </c>
      <c r="AD330" s="323" t="e">
        <f t="shared" ca="1" si="171"/>
        <v>#N/A</v>
      </c>
      <c r="AE330" s="324">
        <f t="shared" ca="1" si="150"/>
        <v>356.55372838115181</v>
      </c>
      <c r="AG330" s="306">
        <f t="shared" ca="1" si="172"/>
        <v>81.578100961125983</v>
      </c>
      <c r="AH330" s="304">
        <f t="shared" ca="1" si="173"/>
        <v>90.776897454344493</v>
      </c>
    </row>
    <row r="331" spans="1:34" x14ac:dyDescent="0.2">
      <c r="A331" s="347">
        <f t="shared" ca="1" si="151"/>
        <v>0.01</v>
      </c>
      <c r="B331" s="304">
        <f t="shared" ca="1" si="152"/>
        <v>3.2699999999999743</v>
      </c>
      <c r="D331" s="306">
        <f t="shared" ca="1" si="153"/>
        <v>31.531493129608965</v>
      </c>
      <c r="E331" s="307">
        <f t="shared" ca="1" si="154"/>
        <v>75.248905045337366</v>
      </c>
      <c r="F331" s="304">
        <f t="shared" ca="1" si="155"/>
        <v>81.588190134999181</v>
      </c>
      <c r="G331" s="306">
        <f t="shared" ca="1" si="156"/>
        <v>85.423201861626211</v>
      </c>
      <c r="H331" s="307">
        <f t="shared" ca="1" si="157"/>
        <v>230.33830800485171</v>
      </c>
      <c r="I331" s="304">
        <f t="shared" ca="1" si="158"/>
        <v>245.66818994495415</v>
      </c>
      <c r="J331" s="306">
        <f t="shared" ca="1" si="159"/>
        <v>124.55156567115949</v>
      </c>
      <c r="K331" s="307">
        <f t="shared" ca="1" si="160"/>
        <v>358.85334901594808</v>
      </c>
      <c r="L331" s="304">
        <f t="shared" ca="1" si="145"/>
        <v>379.85368052856751</v>
      </c>
      <c r="M331" s="306">
        <f t="shared" ca="1" si="161"/>
        <v>1.2156604171267722</v>
      </c>
      <c r="N331" s="304">
        <f t="shared" ca="1" si="162"/>
        <v>69.65221122247722</v>
      </c>
      <c r="P331" s="310">
        <f t="shared" ca="1" si="163"/>
        <v>11</v>
      </c>
      <c r="Q331" s="304">
        <f t="shared" ca="1" si="164"/>
        <v>2209.9405319465077</v>
      </c>
      <c r="R331" s="306">
        <f t="shared" ca="1" si="165"/>
        <v>1.3290010796523908</v>
      </c>
      <c r="S331" s="307">
        <f t="shared" ca="1" si="166"/>
        <v>19.807150858745558</v>
      </c>
      <c r="T331" s="304">
        <f t="shared" ca="1" si="146"/>
        <v>194.30814992429393</v>
      </c>
      <c r="U331" s="311">
        <f t="shared" ca="1" si="147"/>
        <v>0</v>
      </c>
      <c r="V331" s="306">
        <f t="shared" ca="1" si="148"/>
        <v>1.1818153132194171</v>
      </c>
      <c r="W331" s="304">
        <f t="shared" ca="1" si="149"/>
        <v>415.79007947229127</v>
      </c>
      <c r="Y331" s="314" t="str">
        <f t="shared" ca="1" si="167"/>
        <v/>
      </c>
      <c r="Z331" s="315" t="str">
        <f t="shared" ca="1" si="168"/>
        <v/>
      </c>
      <c r="AA331" s="316" t="str">
        <f t="shared" ca="1" si="169"/>
        <v/>
      </c>
      <c r="AC331" s="310" t="e">
        <f t="shared" ca="1" si="170"/>
        <v>#N/A</v>
      </c>
      <c r="AD331" s="323" t="e">
        <f t="shared" ca="1" si="171"/>
        <v>#N/A</v>
      </c>
      <c r="AE331" s="324">
        <f t="shared" ca="1" si="150"/>
        <v>358.85334901594808</v>
      </c>
      <c r="AG331" s="306">
        <f t="shared" ca="1" si="172"/>
        <v>81.516904966887196</v>
      </c>
      <c r="AH331" s="304">
        <f t="shared" ca="1" si="173"/>
        <v>90.715226872307909</v>
      </c>
    </row>
    <row r="332" spans="1:34" x14ac:dyDescent="0.2">
      <c r="A332" s="347">
        <f t="shared" ca="1" si="151"/>
        <v>0.01</v>
      </c>
      <c r="B332" s="304">
        <f t="shared" ca="1" si="152"/>
        <v>3.279999999999974</v>
      </c>
      <c r="D332" s="306">
        <f t="shared" ca="1" si="153"/>
        <v>31.521730847187943</v>
      </c>
      <c r="E332" s="307">
        <f t="shared" ca="1" si="154"/>
        <v>75.186370898001229</v>
      </c>
      <c r="F332" s="304">
        <f t="shared" ca="1" si="155"/>
        <v>81.526743369365406</v>
      </c>
      <c r="G332" s="306">
        <f t="shared" ca="1" si="156"/>
        <v>85.738419170098084</v>
      </c>
      <c r="H332" s="307">
        <f t="shared" ca="1" si="157"/>
        <v>231.09017171383172</v>
      </c>
      <c r="I332" s="304">
        <f t="shared" ca="1" si="158"/>
        <v>246.48274581502795</v>
      </c>
      <c r="J332" s="306">
        <f t="shared" ca="1" si="159"/>
        <v>125.40737377631811</v>
      </c>
      <c r="K332" s="307">
        <f t="shared" ca="1" si="160"/>
        <v>361.16049141454153</v>
      </c>
      <c r="L332" s="304">
        <f t="shared" ca="1" si="145"/>
        <v>382.31388930598149</v>
      </c>
      <c r="M332" s="306">
        <f t="shared" ca="1" si="161"/>
        <v>1.2155220256304178</v>
      </c>
      <c r="N332" s="304">
        <f t="shared" ca="1" si="162"/>
        <v>69.644281973815623</v>
      </c>
      <c r="P332" s="310">
        <f t="shared" ca="1" si="163"/>
        <v>11</v>
      </c>
      <c r="Q332" s="304">
        <f t="shared" ca="1" si="164"/>
        <v>2210.166772659732</v>
      </c>
      <c r="R332" s="306">
        <f t="shared" ca="1" si="165"/>
        <v>1.3291371349660022</v>
      </c>
      <c r="S332" s="307">
        <f t="shared" ca="1" si="166"/>
        <v>19.793859487395899</v>
      </c>
      <c r="T332" s="304">
        <f t="shared" ca="1" si="146"/>
        <v>194.17776157135378</v>
      </c>
      <c r="U332" s="311">
        <f t="shared" ca="1" si="147"/>
        <v>0</v>
      </c>
      <c r="V332" s="306">
        <f t="shared" ca="1" si="148"/>
        <v>1.1815425946945053</v>
      </c>
      <c r="W332" s="304">
        <f t="shared" ca="1" si="149"/>
        <v>418.45531403206007</v>
      </c>
      <c r="Y332" s="314" t="str">
        <f t="shared" ca="1" si="167"/>
        <v/>
      </c>
      <c r="Z332" s="315" t="str">
        <f t="shared" ca="1" si="168"/>
        <v/>
      </c>
      <c r="AA332" s="316" t="str">
        <f t="shared" ca="1" si="169"/>
        <v/>
      </c>
      <c r="AC332" s="310" t="e">
        <f t="shared" ca="1" si="170"/>
        <v>#N/A</v>
      </c>
      <c r="AD332" s="323" t="e">
        <f t="shared" ca="1" si="171"/>
        <v>#N/A</v>
      </c>
      <c r="AE332" s="324">
        <f t="shared" ca="1" si="150"/>
        <v>361.16049141454153</v>
      </c>
      <c r="AG332" s="306">
        <f t="shared" ca="1" si="172"/>
        <v>81.455350972959863</v>
      </c>
      <c r="AH332" s="304">
        <f t="shared" ca="1" si="173"/>
        <v>90.653199510183583</v>
      </c>
    </row>
    <row r="333" spans="1:34" x14ac:dyDescent="0.2">
      <c r="A333" s="347">
        <f t="shared" ca="1" si="151"/>
        <v>0.01</v>
      </c>
      <c r="B333" s="304">
        <f t="shared" ca="1" si="152"/>
        <v>3.2899999999999738</v>
      </c>
      <c r="D333" s="306">
        <f t="shared" ca="1" si="153"/>
        <v>31.511793650777502</v>
      </c>
      <c r="E333" s="307">
        <f t="shared" ca="1" si="154"/>
        <v>75.123520774648043</v>
      </c>
      <c r="F333" s="304">
        <f t="shared" ca="1" si="155"/>
        <v>81.464940389520677</v>
      </c>
      <c r="G333" s="306">
        <f t="shared" ca="1" si="156"/>
        <v>86.053537106605859</v>
      </c>
      <c r="H333" s="307">
        <f t="shared" ca="1" si="157"/>
        <v>231.8414069215782</v>
      </c>
      <c r="I333" s="304">
        <f t="shared" ca="1" si="158"/>
        <v>247.29668257365444</v>
      </c>
      <c r="J333" s="306">
        <f t="shared" ca="1" si="159"/>
        <v>126.26633355770163</v>
      </c>
      <c r="K333" s="307">
        <f t="shared" ca="1" si="160"/>
        <v>363.4751493077186</v>
      </c>
      <c r="L333" s="304">
        <f t="shared" ca="1" si="145"/>
        <v>384.78223861604249</v>
      </c>
      <c r="M333" s="306">
        <f t="shared" ca="1" si="161"/>
        <v>1.2153840381557102</v>
      </c>
      <c r="N333" s="304">
        <f t="shared" ca="1" si="162"/>
        <v>69.636375873889207</v>
      </c>
      <c r="P333" s="310">
        <f t="shared" ca="1" si="163"/>
        <v>11</v>
      </c>
      <c r="Q333" s="304">
        <f t="shared" ca="1" si="164"/>
        <v>2210.3930133729564</v>
      </c>
      <c r="R333" s="306">
        <f t="shared" ca="1" si="165"/>
        <v>1.3292731902796135</v>
      </c>
      <c r="S333" s="307">
        <f t="shared" ca="1" si="166"/>
        <v>19.780566755493101</v>
      </c>
      <c r="T333" s="304">
        <f t="shared" ca="1" si="146"/>
        <v>194.04735987138733</v>
      </c>
      <c r="U333" s="311">
        <f t="shared" ca="1" si="147"/>
        <v>0</v>
      </c>
      <c r="V333" s="306">
        <f t="shared" ca="1" si="148"/>
        <v>1.1812690498908196</v>
      </c>
      <c r="W333" s="304">
        <f t="shared" ca="1" si="149"/>
        <v>421.12600869987187</v>
      </c>
      <c r="Y333" s="314" t="str">
        <f t="shared" ca="1" si="167"/>
        <v/>
      </c>
      <c r="Z333" s="315" t="str">
        <f t="shared" ca="1" si="168"/>
        <v/>
      </c>
      <c r="AA333" s="316" t="str">
        <f t="shared" ca="1" si="169"/>
        <v/>
      </c>
      <c r="AC333" s="310" t="e">
        <f t="shared" ca="1" si="170"/>
        <v>#N/A</v>
      </c>
      <c r="AD333" s="323" t="e">
        <f t="shared" ca="1" si="171"/>
        <v>#N/A</v>
      </c>
      <c r="AE333" s="324">
        <f t="shared" ca="1" si="150"/>
        <v>363.4751493077186</v>
      </c>
      <c r="AG333" s="306">
        <f t="shared" ca="1" si="172"/>
        <v>81.393440429491676</v>
      </c>
      <c r="AH333" s="304">
        <f t="shared" ca="1" si="173"/>
        <v>90.590816809800046</v>
      </c>
    </row>
    <row r="334" spans="1:34" x14ac:dyDescent="0.2">
      <c r="A334" s="347">
        <f t="shared" ca="1" si="151"/>
        <v>0.01</v>
      </c>
      <c r="B334" s="304">
        <f t="shared" ca="1" si="152"/>
        <v>3.2999999999999736</v>
      </c>
      <c r="D334" s="306">
        <f t="shared" ca="1" si="153"/>
        <v>31.501682227994063</v>
      </c>
      <c r="E334" s="307">
        <f t="shared" ca="1" si="154"/>
        <v>75.060355986494088</v>
      </c>
      <c r="F334" s="304">
        <f t="shared" ca="1" si="155"/>
        <v>81.402782655218459</v>
      </c>
      <c r="G334" s="306">
        <f t="shared" ca="1" si="156"/>
        <v>86.368553928885802</v>
      </c>
      <c r="H334" s="307">
        <f t="shared" ca="1" si="157"/>
        <v>232.59201048144314</v>
      </c>
      <c r="I334" s="304">
        <f t="shared" ca="1" si="158"/>
        <v>248.10999666995809</v>
      </c>
      <c r="J334" s="306">
        <f t="shared" ca="1" si="159"/>
        <v>127.12844401287909</v>
      </c>
      <c r="K334" s="307">
        <f t="shared" ca="1" si="160"/>
        <v>365.79731639473368</v>
      </c>
      <c r="L334" s="304">
        <f t="shared" ca="1" si="145"/>
        <v>387.25872225002837</v>
      </c>
      <c r="M334" s="306">
        <f t="shared" ca="1" si="161"/>
        <v>1.2152464518589388</v>
      </c>
      <c r="N334" s="304">
        <f t="shared" ca="1" si="162"/>
        <v>69.628492759765365</v>
      </c>
      <c r="P334" s="310">
        <f t="shared" ca="1" si="163"/>
        <v>11</v>
      </c>
      <c r="Q334" s="304">
        <f t="shared" ca="1" si="164"/>
        <v>2210.6192540861807</v>
      </c>
      <c r="R334" s="306">
        <f t="shared" ca="1" si="165"/>
        <v>1.3294092455932249</v>
      </c>
      <c r="S334" s="307">
        <f t="shared" ca="1" si="166"/>
        <v>19.767272663037168</v>
      </c>
      <c r="T334" s="304">
        <f t="shared" ca="1" si="146"/>
        <v>193.91694482439462</v>
      </c>
      <c r="U334" s="311">
        <f t="shared" ca="1" si="147"/>
        <v>0</v>
      </c>
      <c r="V334" s="306">
        <f t="shared" ca="1" si="148"/>
        <v>1.1809946801372886</v>
      </c>
      <c r="W334" s="304">
        <f t="shared" ca="1" si="149"/>
        <v>423.80212031559967</v>
      </c>
      <c r="Y334" s="314" t="str">
        <f t="shared" ca="1" si="167"/>
        <v/>
      </c>
      <c r="Z334" s="315" t="str">
        <f t="shared" ca="1" si="168"/>
        <v/>
      </c>
      <c r="AA334" s="316" t="str">
        <f t="shared" ca="1" si="169"/>
        <v/>
      </c>
      <c r="AC334" s="310" t="e">
        <f t="shared" ca="1" si="170"/>
        <v>#N/A</v>
      </c>
      <c r="AD334" s="323" t="e">
        <f t="shared" ca="1" si="171"/>
        <v>#N/A</v>
      </c>
      <c r="AE334" s="324">
        <f t="shared" ca="1" si="150"/>
        <v>365.79731639473368</v>
      </c>
      <c r="AG334" s="306">
        <f t="shared" ca="1" si="172"/>
        <v>81.331174794389284</v>
      </c>
      <c r="AH334" s="304">
        <f t="shared" ca="1" si="173"/>
        <v>90.528080220822929</v>
      </c>
    </row>
    <row r="335" spans="1:34" x14ac:dyDescent="0.2">
      <c r="A335" s="347">
        <f t="shared" ca="1" si="151"/>
        <v>0.01</v>
      </c>
      <c r="B335" s="304">
        <f t="shared" ca="1" si="152"/>
        <v>3.3099999999999734</v>
      </c>
      <c r="D335" s="306">
        <f t="shared" ca="1" si="153"/>
        <v>31.491397267585228</v>
      </c>
      <c r="E335" s="307">
        <f t="shared" ca="1" si="154"/>
        <v>74.996877852423523</v>
      </c>
      <c r="F335" s="304">
        <f t="shared" ca="1" si="155"/>
        <v>81.340271633897359</v>
      </c>
      <c r="G335" s="306">
        <f t="shared" ca="1" si="156"/>
        <v>86.683467901561656</v>
      </c>
      <c r="H335" s="307">
        <f t="shared" ca="1" si="157"/>
        <v>233.34197925996739</v>
      </c>
      <c r="I335" s="304">
        <f t="shared" ca="1" si="158"/>
        <v>248.92268456771899</v>
      </c>
      <c r="J335" s="306">
        <f t="shared" ca="1" si="159"/>
        <v>127.99370412203132</v>
      </c>
      <c r="K335" s="307">
        <f t="shared" ca="1" si="160"/>
        <v>368.12698634344076</v>
      </c>
      <c r="L335" s="304">
        <f t="shared" ca="1" si="145"/>
        <v>389.74333396375351</v>
      </c>
      <c r="M335" s="306">
        <f t="shared" ca="1" si="161"/>
        <v>1.2151092639242556</v>
      </c>
      <c r="N335" s="304">
        <f t="shared" ca="1" si="162"/>
        <v>69.620632470107907</v>
      </c>
      <c r="P335" s="310">
        <f t="shared" ca="1" si="163"/>
        <v>11</v>
      </c>
      <c r="Q335" s="304">
        <f t="shared" ca="1" si="164"/>
        <v>2210.8454947994051</v>
      </c>
      <c r="R335" s="306">
        <f t="shared" ca="1" si="165"/>
        <v>1.3295453009068363</v>
      </c>
      <c r="S335" s="307">
        <f t="shared" ca="1" si="166"/>
        <v>19.753977210028101</v>
      </c>
      <c r="T335" s="304">
        <f t="shared" ca="1" si="146"/>
        <v>193.78651643037568</v>
      </c>
      <c r="U335" s="311">
        <f t="shared" ca="1" si="147"/>
        <v>0</v>
      </c>
      <c r="V335" s="306">
        <f t="shared" ca="1" si="148"/>
        <v>1.1807194867674311</v>
      </c>
      <c r="W335" s="304">
        <f t="shared" ca="1" si="149"/>
        <v>426.48360564164705</v>
      </c>
      <c r="Y335" s="314" t="str">
        <f t="shared" ca="1" si="167"/>
        <v/>
      </c>
      <c r="Z335" s="315" t="str">
        <f t="shared" ca="1" si="168"/>
        <v/>
      </c>
      <c r="AA335" s="316" t="str">
        <f t="shared" ca="1" si="169"/>
        <v/>
      </c>
      <c r="AC335" s="310" t="e">
        <f t="shared" ca="1" si="170"/>
        <v>#N/A</v>
      </c>
      <c r="AD335" s="323" t="e">
        <f t="shared" ca="1" si="171"/>
        <v>#N/A</v>
      </c>
      <c r="AE335" s="324">
        <f t="shared" ca="1" si="150"/>
        <v>368.12698634344076</v>
      </c>
      <c r="AG335" s="306">
        <f t="shared" ca="1" si="172"/>
        <v>81.268555533253405</v>
      </c>
      <c r="AH335" s="304">
        <f t="shared" ca="1" si="173"/>
        <v>90.464991200689113</v>
      </c>
    </row>
    <row r="336" spans="1:34" x14ac:dyDescent="0.2">
      <c r="A336" s="347">
        <f t="shared" ca="1" si="151"/>
        <v>0.01</v>
      </c>
      <c r="B336" s="304">
        <f t="shared" ca="1" si="152"/>
        <v>3.3199999999999732</v>
      </c>
      <c r="D336" s="306">
        <f t="shared" ca="1" si="153"/>
        <v>31.480939459437352</v>
      </c>
      <c r="E336" s="307">
        <f t="shared" ca="1" si="154"/>
        <v>74.933087698917248</v>
      </c>
      <c r="F336" s="304">
        <f t="shared" ca="1" si="155"/>
        <v>81.277408800615575</v>
      </c>
      <c r="G336" s="306">
        <f t="shared" ca="1" si="156"/>
        <v>86.998277296156033</v>
      </c>
      <c r="H336" s="307">
        <f t="shared" ca="1" si="157"/>
        <v>234.09131013695657</v>
      </c>
      <c r="I336" s="304">
        <f t="shared" ca="1" si="158"/>
        <v>249.7347427454491</v>
      </c>
      <c r="J336" s="306">
        <f t="shared" ca="1" si="159"/>
        <v>128.8621128480199</v>
      </c>
      <c r="K336" s="307">
        <f t="shared" ca="1" si="160"/>
        <v>370.46415279042537</v>
      </c>
      <c r="L336" s="304">
        <f t="shared" ca="1" si="145"/>
        <v>392.23606747771606</v>
      </c>
      <c r="M336" s="306">
        <f t="shared" ca="1" si="161"/>
        <v>1.2149724715633117</v>
      </c>
      <c r="N336" s="304">
        <f t="shared" ca="1" si="162"/>
        <v>69.612794845156188</v>
      </c>
      <c r="P336" s="310">
        <f t="shared" ca="1" si="163"/>
        <v>11</v>
      </c>
      <c r="Q336" s="304">
        <f t="shared" ca="1" si="164"/>
        <v>2211.0717355126294</v>
      </c>
      <c r="R336" s="306">
        <f t="shared" ca="1" si="165"/>
        <v>1.3296813562204477</v>
      </c>
      <c r="S336" s="307">
        <f t="shared" ca="1" si="166"/>
        <v>19.740680396465898</v>
      </c>
      <c r="T336" s="304">
        <f t="shared" ca="1" si="146"/>
        <v>193.65607468933047</v>
      </c>
      <c r="U336" s="311">
        <f t="shared" ca="1" si="147"/>
        <v>0</v>
      </c>
      <c r="V336" s="306">
        <f t="shared" ca="1" si="148"/>
        <v>1.1804434711193261</v>
      </c>
      <c r="W336" s="304">
        <f t="shared" ca="1" si="149"/>
        <v>429.17042136479455</v>
      </c>
      <c r="Y336" s="314" t="str">
        <f t="shared" ca="1" si="167"/>
        <v/>
      </c>
      <c r="Z336" s="315" t="str">
        <f t="shared" ca="1" si="168"/>
        <v/>
      </c>
      <c r="AA336" s="316" t="str">
        <f t="shared" ca="1" si="169"/>
        <v/>
      </c>
      <c r="AC336" s="310" t="e">
        <f t="shared" ca="1" si="170"/>
        <v>#N/A</v>
      </c>
      <c r="AD336" s="323" t="e">
        <f t="shared" ca="1" si="171"/>
        <v>#N/A</v>
      </c>
      <c r="AE336" s="324">
        <f t="shared" ca="1" si="150"/>
        <v>370.46415279042537</v>
      </c>
      <c r="AG336" s="306">
        <f t="shared" ca="1" si="172"/>
        <v>81.205584119313372</v>
      </c>
      <c r="AH336" s="304">
        <f t="shared" ca="1" si="173"/>
        <v>90.401551214540234</v>
      </c>
    </row>
    <row r="337" spans="1:34" x14ac:dyDescent="0.2">
      <c r="A337" s="347">
        <f t="shared" ca="1" si="151"/>
        <v>0.01</v>
      </c>
      <c r="B337" s="304">
        <f t="shared" ca="1" si="152"/>
        <v>3.329999999999973</v>
      </c>
      <c r="D337" s="306">
        <f t="shared" ca="1" si="153"/>
        <v>31.470309494582352</v>
      </c>
      <c r="E337" s="307">
        <f t="shared" ca="1" si="154"/>
        <v>74.868986859982186</v>
      </c>
      <c r="F337" s="304">
        <f t="shared" ca="1" si="155"/>
        <v>81.214195637985512</v>
      </c>
      <c r="G337" s="306">
        <f t="shared" ca="1" si="156"/>
        <v>87.31298039110186</v>
      </c>
      <c r="H337" s="307">
        <f t="shared" ca="1" si="157"/>
        <v>234.84000000555639</v>
      </c>
      <c r="I337" s="304">
        <f t="shared" ca="1" si="158"/>
        <v>250.54616769646799</v>
      </c>
      <c r="J337" s="306">
        <f t="shared" ca="1" si="159"/>
        <v>129.7336691364562</v>
      </c>
      <c r="K337" s="307">
        <f t="shared" ca="1" si="160"/>
        <v>372.80880934113793</v>
      </c>
      <c r="L337" s="304">
        <f t="shared" ca="1" si="145"/>
        <v>394.73691647724615</v>
      </c>
      <c r="M337" s="306">
        <f t="shared" ca="1" si="161"/>
        <v>1.2148360720149001</v>
      </c>
      <c r="N337" s="304">
        <f t="shared" ca="1" si="162"/>
        <v>69.604979726704713</v>
      </c>
      <c r="P337" s="310">
        <f t="shared" ca="1" si="163"/>
        <v>11</v>
      </c>
      <c r="Q337" s="304">
        <f t="shared" ca="1" si="164"/>
        <v>2211.2979762258537</v>
      </c>
      <c r="R337" s="306">
        <f t="shared" ca="1" si="165"/>
        <v>1.3298174115340591</v>
      </c>
      <c r="S337" s="307">
        <f t="shared" ca="1" si="166"/>
        <v>19.727382222350556</v>
      </c>
      <c r="T337" s="304">
        <f t="shared" ca="1" si="146"/>
        <v>193.52561960125897</v>
      </c>
      <c r="U337" s="311">
        <f t="shared" ca="1" si="147"/>
        <v>0</v>
      </c>
      <c r="V337" s="306">
        <f t="shared" ca="1" si="148"/>
        <v>1.1801666345355879</v>
      </c>
      <c r="W337" s="304">
        <f t="shared" ca="1" si="149"/>
        <v>431.86252409804922</v>
      </c>
      <c r="Y337" s="314" t="str">
        <f t="shared" ca="1" si="167"/>
        <v/>
      </c>
      <c r="Z337" s="315" t="str">
        <f t="shared" ca="1" si="168"/>
        <v/>
      </c>
      <c r="AA337" s="316" t="str">
        <f t="shared" ca="1" si="169"/>
        <v/>
      </c>
      <c r="AC337" s="310" t="e">
        <f t="shared" ca="1" si="170"/>
        <v>#N/A</v>
      </c>
      <c r="AD337" s="323" t="e">
        <f t="shared" ca="1" si="171"/>
        <v>#N/A</v>
      </c>
      <c r="AE337" s="324">
        <f t="shared" ca="1" si="150"/>
        <v>372.80880934113793</v>
      </c>
      <c r="AG337" s="306">
        <f t="shared" ca="1" si="172"/>
        <v>81.142262033361462</v>
      </c>
      <c r="AH337" s="304">
        <f t="shared" ca="1" si="173"/>
        <v>90.337761735156121</v>
      </c>
    </row>
    <row r="338" spans="1:34" x14ac:dyDescent="0.2">
      <c r="A338" s="347">
        <f t="shared" ca="1" si="151"/>
        <v>0.01</v>
      </c>
      <c r="B338" s="304">
        <f t="shared" ca="1" si="152"/>
        <v>3.3399999999999728</v>
      </c>
      <c r="D338" s="306">
        <f t="shared" ca="1" si="153"/>
        <v>31.459508065203828</v>
      </c>
      <c r="E338" s="307">
        <f t="shared" ca="1" si="154"/>
        <v>74.804576677080007</v>
      </c>
      <c r="F338" s="304">
        <f t="shared" ca="1" si="155"/>
        <v>81.150633636107656</v>
      </c>
      <c r="G338" s="306">
        <f t="shared" ca="1" si="156"/>
        <v>87.6275754717539</v>
      </c>
      <c r="H338" s="307">
        <f t="shared" ca="1" si="157"/>
        <v>235.58804577232718</v>
      </c>
      <c r="I338" s="304">
        <f t="shared" ca="1" si="158"/>
        <v>251.35695592897773</v>
      </c>
      <c r="J338" s="306">
        <f t="shared" ca="1" si="159"/>
        <v>130.60837191577048</v>
      </c>
      <c r="K338" s="307">
        <f t="shared" ca="1" si="160"/>
        <v>375.16094957002736</v>
      </c>
      <c r="L338" s="304">
        <f t="shared" ca="1" si="145"/>
        <v>397.24587461265452</v>
      </c>
      <c r="M338" s="306">
        <f t="shared" ca="1" si="161"/>
        <v>1.2147000625446018</v>
      </c>
      <c r="N338" s="304">
        <f t="shared" ca="1" si="162"/>
        <v>69.597186958082816</v>
      </c>
      <c r="P338" s="310">
        <f t="shared" ca="1" si="163"/>
        <v>11</v>
      </c>
      <c r="Q338" s="304">
        <f t="shared" ca="1" si="164"/>
        <v>2211.5242169390781</v>
      </c>
      <c r="R338" s="306">
        <f t="shared" ca="1" si="165"/>
        <v>1.3299534668476705</v>
      </c>
      <c r="S338" s="307">
        <f t="shared" ca="1" si="166"/>
        <v>19.71408268768208</v>
      </c>
      <c r="T338" s="304">
        <f t="shared" ca="1" si="146"/>
        <v>193.39515116616121</v>
      </c>
      <c r="U338" s="311">
        <f t="shared" ca="1" si="147"/>
        <v>0</v>
      </c>
      <c r="V338" s="306">
        <f t="shared" ca="1" si="148"/>
        <v>1.1798889783633359</v>
      </c>
      <c r="W338" s="304">
        <f t="shared" ca="1" si="149"/>
        <v>434.55987038249253</v>
      </c>
      <c r="Y338" s="314" t="str">
        <f t="shared" ca="1" si="167"/>
        <v/>
      </c>
      <c r="Z338" s="315" t="str">
        <f t="shared" ca="1" si="168"/>
        <v/>
      </c>
      <c r="AA338" s="316" t="str">
        <f t="shared" ca="1" si="169"/>
        <v/>
      </c>
      <c r="AC338" s="310" t="e">
        <f t="shared" ca="1" si="170"/>
        <v>#N/A</v>
      </c>
      <c r="AD338" s="323" t="e">
        <f t="shared" ca="1" si="171"/>
        <v>#N/A</v>
      </c>
      <c r="AE338" s="324">
        <f t="shared" ca="1" si="150"/>
        <v>375.16094957002736</v>
      </c>
      <c r="AG338" s="306">
        <f t="shared" ca="1" si="172"/>
        <v>81.078590763686748</v>
      </c>
      <c r="AH338" s="304">
        <f t="shared" ca="1" si="173"/>
        <v>90.273624242887664</v>
      </c>
    </row>
    <row r="339" spans="1:34" x14ac:dyDescent="0.2">
      <c r="A339" s="347">
        <f t="shared" ca="1" si="151"/>
        <v>0.01</v>
      </c>
      <c r="B339" s="304">
        <f t="shared" ca="1" si="152"/>
        <v>3.3499999999999726</v>
      </c>
      <c r="D339" s="306">
        <f t="shared" ca="1" si="153"/>
        <v>31.448535864642757</v>
      </c>
      <c r="E339" s="307">
        <f t="shared" ca="1" si="154"/>
        <v>74.739858499055899</v>
      </c>
      <c r="F339" s="304">
        <f t="shared" ca="1" si="155"/>
        <v>81.086724292504385</v>
      </c>
      <c r="G339" s="306">
        <f t="shared" ca="1" si="156"/>
        <v>87.942060830400322</v>
      </c>
      <c r="H339" s="307">
        <f t="shared" ca="1" si="157"/>
        <v>236.33544435731773</v>
      </c>
      <c r="I339" s="304">
        <f t="shared" ca="1" si="158"/>
        <v>252.1671039661372</v>
      </c>
      <c r="J339" s="306">
        <f t="shared" ca="1" si="159"/>
        <v>131.48622009728126</v>
      </c>
      <c r="K339" s="307">
        <f t="shared" ca="1" si="160"/>
        <v>377.52056702067557</v>
      </c>
      <c r="L339" s="304">
        <f t="shared" ca="1" si="145"/>
        <v>399.76293549938202</v>
      </c>
      <c r="M339" s="306">
        <f t="shared" ca="1" si="161"/>
        <v>1.2145644404444416</v>
      </c>
      <c r="N339" s="304">
        <f t="shared" ca="1" si="162"/>
        <v>69.589416384134935</v>
      </c>
      <c r="P339" s="310">
        <f t="shared" ca="1" si="163"/>
        <v>11</v>
      </c>
      <c r="Q339" s="304">
        <f t="shared" ca="1" si="164"/>
        <v>2211.7504576523024</v>
      </c>
      <c r="R339" s="306">
        <f t="shared" ca="1" si="165"/>
        <v>1.3300895221612818</v>
      </c>
      <c r="S339" s="307">
        <f t="shared" ca="1" si="166"/>
        <v>19.700781792460468</v>
      </c>
      <c r="T339" s="304">
        <f t="shared" ca="1" si="146"/>
        <v>193.26466938403721</v>
      </c>
      <c r="U339" s="311">
        <f t="shared" ca="1" si="147"/>
        <v>0</v>
      </c>
      <c r="V339" s="306">
        <f t="shared" ca="1" si="148"/>
        <v>1.1796105039541678</v>
      </c>
      <c r="W339" s="304">
        <f t="shared" ca="1" si="149"/>
        <v>437.26241668913082</v>
      </c>
      <c r="Y339" s="314" t="str">
        <f t="shared" ca="1" si="167"/>
        <v/>
      </c>
      <c r="Z339" s="315" t="str">
        <f t="shared" ca="1" si="168"/>
        <v/>
      </c>
      <c r="AA339" s="316" t="str">
        <f t="shared" ca="1" si="169"/>
        <v/>
      </c>
      <c r="AC339" s="310" t="e">
        <f t="shared" ca="1" si="170"/>
        <v>#N/A</v>
      </c>
      <c r="AD339" s="323" t="e">
        <f t="shared" ca="1" si="171"/>
        <v>#N/A</v>
      </c>
      <c r="AE339" s="324">
        <f t="shared" ca="1" si="150"/>
        <v>377.52056702067557</v>
      </c>
      <c r="AG339" s="306">
        <f t="shared" ca="1" si="172"/>
        <v>81.014571806008902</v>
      </c>
      <c r="AH339" s="304">
        <f t="shared" ca="1" si="173"/>
        <v>90.20914022558965</v>
      </c>
    </row>
    <row r="340" spans="1:34" x14ac:dyDescent="0.2">
      <c r="A340" s="347">
        <f t="shared" ca="1" si="151"/>
        <v>0.01</v>
      </c>
      <c r="B340" s="304">
        <f t="shared" ca="1" si="152"/>
        <v>3.3599999999999723</v>
      </c>
      <c r="D340" s="306">
        <f t="shared" ca="1" si="153"/>
        <v>31.437393587402347</v>
      </c>
      <c r="E340" s="307">
        <f t="shared" ca="1" si="154"/>
        <v>74.674833682067373</v>
      </c>
      <c r="F340" s="304">
        <f t="shared" ca="1" si="155"/>
        <v>81.022469112053543</v>
      </c>
      <c r="G340" s="306">
        <f t="shared" ca="1" si="156"/>
        <v>88.256434766274353</v>
      </c>
      <c r="H340" s="307">
        <f t="shared" ca="1" si="157"/>
        <v>237.0821926941384</v>
      </c>
      <c r="I340" s="304">
        <f t="shared" ca="1" si="158"/>
        <v>252.97660834613586</v>
      </c>
      <c r="J340" s="306">
        <f t="shared" ca="1" si="159"/>
        <v>132.36721257526463</v>
      </c>
      <c r="K340" s="307">
        <f t="shared" ca="1" si="160"/>
        <v>379.88765520593284</v>
      </c>
      <c r="L340" s="304">
        <f t="shared" ca="1" si="145"/>
        <v>402.28809271815021</v>
      </c>
      <c r="M340" s="306">
        <f t="shared" ca="1" si="161"/>
        <v>1.2144292030325459</v>
      </c>
      <c r="N340" s="304">
        <f t="shared" ca="1" si="162"/>
        <v>69.581667851201033</v>
      </c>
      <c r="P340" s="310">
        <f t="shared" ca="1" si="163"/>
        <v>11</v>
      </c>
      <c r="Q340" s="304">
        <f t="shared" ca="1" si="164"/>
        <v>2211.9766983655268</v>
      </c>
      <c r="R340" s="306">
        <f t="shared" ca="1" si="165"/>
        <v>1.3302255774748932</v>
      </c>
      <c r="S340" s="307">
        <f t="shared" ca="1" si="166"/>
        <v>19.687479536685718</v>
      </c>
      <c r="T340" s="304">
        <f t="shared" ca="1" si="146"/>
        <v>193.13417425488691</v>
      </c>
      <c r="U340" s="311">
        <f t="shared" ca="1" si="147"/>
        <v>0</v>
      </c>
      <c r="V340" s="306">
        <f t="shared" ca="1" si="148"/>
        <v>1.1793312126641293</v>
      </c>
      <c r="W340" s="304">
        <f t="shared" ca="1" si="149"/>
        <v>439.97011942074505</v>
      </c>
      <c r="Y340" s="314" t="str">
        <f t="shared" ca="1" si="167"/>
        <v/>
      </c>
      <c r="Z340" s="315" t="str">
        <f t="shared" ca="1" si="168"/>
        <v/>
      </c>
      <c r="AA340" s="316" t="str">
        <f t="shared" ca="1" si="169"/>
        <v/>
      </c>
      <c r="AC340" s="310" t="e">
        <f t="shared" ca="1" si="170"/>
        <v>#N/A</v>
      </c>
      <c r="AD340" s="323" t="e">
        <f t="shared" ca="1" si="171"/>
        <v>#N/A</v>
      </c>
      <c r="AE340" s="324">
        <f t="shared" ca="1" si="150"/>
        <v>379.88765520593284</v>
      </c>
      <c r="AG340" s="306">
        <f t="shared" ca="1" si="172"/>
        <v>80.950206663411436</v>
      </c>
      <c r="AH340" s="304">
        <f t="shared" ca="1" si="173"/>
        <v>90.14431117855321</v>
      </c>
    </row>
    <row r="341" spans="1:34" x14ac:dyDescent="0.2">
      <c r="A341" s="347">
        <f t="shared" ca="1" si="151"/>
        <v>0.01</v>
      </c>
      <c r="B341" s="304">
        <f t="shared" ca="1" si="152"/>
        <v>3.3699999999999721</v>
      </c>
      <c r="D341" s="306">
        <f t="shared" ca="1" si="153"/>
        <v>31.426081929152357</v>
      </c>
      <c r="E341" s="307">
        <f t="shared" ca="1" si="154"/>
        <v>74.609503589512556</v>
      </c>
      <c r="F341" s="304">
        <f t="shared" ca="1" si="155"/>
        <v>80.957869606921363</v>
      </c>
      <c r="G341" s="306">
        <f t="shared" ca="1" si="156"/>
        <v>88.570695585565872</v>
      </c>
      <c r="H341" s="307">
        <f t="shared" ca="1" si="157"/>
        <v>237.82828773003354</v>
      </c>
      <c r="I341" s="304">
        <f t="shared" ca="1" si="158"/>
        <v>253.78546562226646</v>
      </c>
      <c r="J341" s="306">
        <f t="shared" ca="1" si="159"/>
        <v>133.25134822702384</v>
      </c>
      <c r="K341" s="307">
        <f t="shared" ca="1" si="160"/>
        <v>382.2622076080537</v>
      </c>
      <c r="L341" s="304">
        <f t="shared" ca="1" si="145"/>
        <v>404.82133981511191</v>
      </c>
      <c r="M341" s="306">
        <f t="shared" ca="1" si="161"/>
        <v>1.2142943476528081</v>
      </c>
      <c r="N341" s="304">
        <f t="shared" ca="1" si="162"/>
        <v>69.57394120709742</v>
      </c>
      <c r="P341" s="310">
        <f t="shared" ca="1" si="163"/>
        <v>11</v>
      </c>
      <c r="Q341" s="304">
        <f t="shared" ca="1" si="164"/>
        <v>2212.2029390787511</v>
      </c>
      <c r="R341" s="306">
        <f t="shared" ca="1" si="165"/>
        <v>1.3303616327885046</v>
      </c>
      <c r="S341" s="307">
        <f t="shared" ca="1" si="166"/>
        <v>19.674175920357833</v>
      </c>
      <c r="T341" s="304">
        <f t="shared" ca="1" si="146"/>
        <v>193.00366577871034</v>
      </c>
      <c r="U341" s="311">
        <f t="shared" ca="1" si="147"/>
        <v>0</v>
      </c>
      <c r="V341" s="306">
        <f t="shared" ca="1" si="148"/>
        <v>1.1790511058536892</v>
      </c>
      <c r="W341" s="304">
        <f t="shared" ca="1" si="149"/>
        <v>442.68293491374186</v>
      </c>
      <c r="Y341" s="314" t="str">
        <f t="shared" ca="1" si="167"/>
        <v/>
      </c>
      <c r="Z341" s="315" t="str">
        <f t="shared" ca="1" si="168"/>
        <v/>
      </c>
      <c r="AA341" s="316" t="str">
        <f t="shared" ca="1" si="169"/>
        <v/>
      </c>
      <c r="AC341" s="310" t="e">
        <f t="shared" ca="1" si="170"/>
        <v>#N/A</v>
      </c>
      <c r="AD341" s="323" t="e">
        <f t="shared" ca="1" si="171"/>
        <v>#N/A</v>
      </c>
      <c r="AE341" s="324">
        <f t="shared" ca="1" si="150"/>
        <v>382.2622076080537</v>
      </c>
      <c r="AG341" s="306">
        <f t="shared" ca="1" si="172"/>
        <v>80.885496846274748</v>
      </c>
      <c r="AH341" s="304">
        <f t="shared" ca="1" si="173"/>
        <v>90.079138604437816</v>
      </c>
    </row>
    <row r="342" spans="1:34" x14ac:dyDescent="0.2">
      <c r="A342" s="347">
        <f t="shared" ca="1" si="151"/>
        <v>0.01</v>
      </c>
      <c r="B342" s="304">
        <f t="shared" ca="1" si="152"/>
        <v>3.3799999999999719</v>
      </c>
      <c r="D342" s="306">
        <f t="shared" ca="1" si="153"/>
        <v>31.414601586732932</v>
      </c>
      <c r="E342" s="307">
        <f t="shared" ca="1" si="154"/>
        <v>74.543869591958568</v>
      </c>
      <c r="F342" s="304">
        <f t="shared" ca="1" si="155"/>
        <v>80.892927296495387</v>
      </c>
      <c r="G342" s="306">
        <f t="shared" ca="1" si="156"/>
        <v>88.884841601433195</v>
      </c>
      <c r="H342" s="307">
        <f t="shared" ca="1" si="157"/>
        <v>238.57372642595311</v>
      </c>
      <c r="I342" s="304">
        <f t="shared" ca="1" si="158"/>
        <v>254.59367236299764</v>
      </c>
      <c r="J342" s="306">
        <f t="shared" ca="1" si="159"/>
        <v>134.13862591295884</v>
      </c>
      <c r="K342" s="307">
        <f t="shared" ca="1" si="160"/>
        <v>384.64421767883363</v>
      </c>
      <c r="L342" s="304">
        <f t="shared" ca="1" si="145"/>
        <v>407.36267030200332</v>
      </c>
      <c r="M342" s="306">
        <f t="shared" ca="1" si="161"/>
        <v>1.2141598716745587</v>
      </c>
      <c r="N342" s="304">
        <f t="shared" ca="1" si="162"/>
        <v>69.566236301097845</v>
      </c>
      <c r="P342" s="310">
        <f t="shared" ca="1" si="163"/>
        <v>11</v>
      </c>
      <c r="Q342" s="304">
        <f t="shared" ca="1" si="164"/>
        <v>2212.4291797919759</v>
      </c>
      <c r="R342" s="306">
        <f t="shared" ca="1" si="165"/>
        <v>1.3304976881021162</v>
      </c>
      <c r="S342" s="307">
        <f t="shared" ca="1" si="166"/>
        <v>19.660870943476812</v>
      </c>
      <c r="T342" s="304">
        <f t="shared" ca="1" si="146"/>
        <v>192.87314395550754</v>
      </c>
      <c r="U342" s="311">
        <f t="shared" ca="1" si="147"/>
        <v>0</v>
      </c>
      <c r="V342" s="306">
        <f t="shared" ca="1" si="148"/>
        <v>1.1787701848877083</v>
      </c>
      <c r="W342" s="304">
        <f t="shared" ca="1" si="149"/>
        <v>445.40081944000389</v>
      </c>
      <c r="Y342" s="314" t="str">
        <f t="shared" ca="1" si="167"/>
        <v/>
      </c>
      <c r="Z342" s="315" t="str">
        <f t="shared" ca="1" si="168"/>
        <v/>
      </c>
      <c r="AA342" s="316" t="str">
        <f t="shared" ca="1" si="169"/>
        <v/>
      </c>
      <c r="AC342" s="310" t="e">
        <f t="shared" ca="1" si="170"/>
        <v>#N/A</v>
      </c>
      <c r="AD342" s="323" t="e">
        <f t="shared" ca="1" si="171"/>
        <v>#N/A</v>
      </c>
      <c r="AE342" s="324">
        <f t="shared" ca="1" si="150"/>
        <v>384.64421767883363</v>
      </c>
      <c r="AG342" s="306">
        <f t="shared" ca="1" si="172"/>
        <v>80.820443872208855</v>
      </c>
      <c r="AH342" s="304">
        <f t="shared" ca="1" si="173"/>
        <v>90.013624013203227</v>
      </c>
    </row>
    <row r="343" spans="1:34" x14ac:dyDescent="0.2">
      <c r="A343" s="347">
        <f t="shared" ca="1" si="151"/>
        <v>0.01</v>
      </c>
      <c r="B343" s="304">
        <f t="shared" ca="1" si="152"/>
        <v>3.3899999999999717</v>
      </c>
      <c r="D343" s="306">
        <f t="shared" ca="1" si="153"/>
        <v>31.402953258157702</v>
      </c>
      <c r="E343" s="307">
        <f t="shared" ca="1" si="154"/>
        <v>74.477933067069856</v>
      </c>
      <c r="F343" s="304">
        <f t="shared" ca="1" si="155"/>
        <v>80.827643707316966</v>
      </c>
      <c r="G343" s="306">
        <f t="shared" ca="1" si="156"/>
        <v>89.198871134014766</v>
      </c>
      <c r="H343" s="307">
        <f t="shared" ca="1" si="157"/>
        <v>239.31850575662381</v>
      </c>
      <c r="I343" s="304">
        <f t="shared" ca="1" si="158"/>
        <v>255.40122515204533</v>
      </c>
      <c r="J343" s="306">
        <f t="shared" ca="1" si="159"/>
        <v>135.02904447663607</v>
      </c>
      <c r="K343" s="307">
        <f t="shared" ca="1" si="160"/>
        <v>387.03367883974653</v>
      </c>
      <c r="L343" s="304">
        <f t="shared" ca="1" si="145"/>
        <v>409.91207765629622</v>
      </c>
      <c r="M343" s="306">
        <f t="shared" ca="1" si="161"/>
        <v>1.2140257724922408</v>
      </c>
      <c r="N343" s="304">
        <f t="shared" ca="1" si="162"/>
        <v>69.558552983914865</v>
      </c>
      <c r="P343" s="310">
        <f t="shared" ca="1" si="163"/>
        <v>11</v>
      </c>
      <c r="Q343" s="304">
        <f t="shared" ca="1" si="164"/>
        <v>2212.6554205052003</v>
      </c>
      <c r="R343" s="306">
        <f t="shared" ca="1" si="165"/>
        <v>1.3306337434157276</v>
      </c>
      <c r="S343" s="307">
        <f t="shared" ca="1" si="166"/>
        <v>19.647564606042653</v>
      </c>
      <c r="T343" s="304">
        <f t="shared" ca="1" si="146"/>
        <v>192.74260878527843</v>
      </c>
      <c r="U343" s="311">
        <f t="shared" ca="1" si="147"/>
        <v>0</v>
      </c>
      <c r="V343" s="306">
        <f t="shared" ca="1" si="148"/>
        <v>1.178488451135411</v>
      </c>
      <c r="W343" s="304">
        <f t="shared" ca="1" si="149"/>
        <v>448.1237292087406</v>
      </c>
      <c r="Y343" s="314" t="str">
        <f t="shared" ca="1" si="167"/>
        <v/>
      </c>
      <c r="Z343" s="315" t="str">
        <f t="shared" ca="1" si="168"/>
        <v/>
      </c>
      <c r="AA343" s="316" t="str">
        <f t="shared" ca="1" si="169"/>
        <v/>
      </c>
      <c r="AC343" s="310" t="e">
        <f t="shared" ca="1" si="170"/>
        <v>#N/A</v>
      </c>
      <c r="AD343" s="323" t="e">
        <f t="shared" ca="1" si="171"/>
        <v>#N/A</v>
      </c>
      <c r="AE343" s="324">
        <f t="shared" ca="1" si="150"/>
        <v>387.03367883974653</v>
      </c>
      <c r="AG343" s="306">
        <f t="shared" ca="1" si="172"/>
        <v>80.755049265985832</v>
      </c>
      <c r="AH343" s="304">
        <f t="shared" ca="1" si="173"/>
        <v>89.947768922041007</v>
      </c>
    </row>
    <row r="344" spans="1:34" x14ac:dyDescent="0.2">
      <c r="A344" s="347">
        <f t="shared" ca="1" si="151"/>
        <v>0.01</v>
      </c>
      <c r="B344" s="304">
        <f t="shared" ca="1" si="152"/>
        <v>3.3999999999999715</v>
      </c>
      <c r="D344" s="306">
        <f t="shared" ca="1" si="153"/>
        <v>31.391137642616442</v>
      </c>
      <c r="E344" s="307">
        <f t="shared" ca="1" si="154"/>
        <v>74.411695399536214</v>
      </c>
      <c r="F344" s="304">
        <f t="shared" ca="1" si="155"/>
        <v>80.762020373013513</v>
      </c>
      <c r="G344" s="306">
        <f t="shared" ca="1" si="156"/>
        <v>89.512782510440928</v>
      </c>
      <c r="H344" s="307">
        <f t="shared" ca="1" si="157"/>
        <v>240.06262271061917</v>
      </c>
      <c r="I344" s="304">
        <f t="shared" ca="1" si="158"/>
        <v>256.20812058844382</v>
      </c>
      <c r="J344" s="306">
        <f t="shared" ca="1" si="159"/>
        <v>135.92260274485835</v>
      </c>
      <c r="K344" s="307">
        <f t="shared" ca="1" si="160"/>
        <v>389.43058448208274</v>
      </c>
      <c r="L344" s="304">
        <f t="shared" ca="1" si="145"/>
        <v>412.46955532135115</v>
      </c>
      <c r="M344" s="306">
        <f t="shared" ca="1" si="161"/>
        <v>1.2138920475250905</v>
      </c>
      <c r="N344" s="304">
        <f t="shared" ca="1" si="162"/>
        <v>69.550891107681636</v>
      </c>
      <c r="P344" s="310">
        <f t="shared" ca="1" si="163"/>
        <v>11</v>
      </c>
      <c r="Q344" s="304">
        <f t="shared" ca="1" si="164"/>
        <v>2212.8816612184246</v>
      </c>
      <c r="R344" s="306">
        <f t="shared" ca="1" si="165"/>
        <v>1.330769798729339</v>
      </c>
      <c r="S344" s="307">
        <f t="shared" ca="1" si="166"/>
        <v>19.63425690805536</v>
      </c>
      <c r="T344" s="304">
        <f t="shared" ca="1" si="146"/>
        <v>192.6120602680231</v>
      </c>
      <c r="U344" s="311">
        <f t="shared" ca="1" si="147"/>
        <v>0</v>
      </c>
      <c r="V344" s="306">
        <f t="shared" ca="1" si="148"/>
        <v>1.1782059059703589</v>
      </c>
      <c r="W344" s="304">
        <f t="shared" ca="1" si="149"/>
        <v>450.85162036833992</v>
      </c>
      <c r="Y344" s="314" t="str">
        <f t="shared" ca="1" si="167"/>
        <v/>
      </c>
      <c r="Z344" s="315" t="str">
        <f t="shared" ca="1" si="168"/>
        <v/>
      </c>
      <c r="AA344" s="316" t="str">
        <f t="shared" ca="1" si="169"/>
        <v/>
      </c>
      <c r="AC344" s="310" t="e">
        <f t="shared" ca="1" si="170"/>
        <v>#N/A</v>
      </c>
      <c r="AD344" s="323" t="e">
        <f t="shared" ca="1" si="171"/>
        <v>#N/A</v>
      </c>
      <c r="AE344" s="324">
        <f t="shared" ca="1" si="150"/>
        <v>389.43058448208274</v>
      </c>
      <c r="AG344" s="306">
        <f t="shared" ca="1" si="172"/>
        <v>80.689314559471967</v>
      </c>
      <c r="AH344" s="304">
        <f t="shared" ca="1" si="173"/>
        <v>89.881574855305857</v>
      </c>
    </row>
    <row r="345" spans="1:34" x14ac:dyDescent="0.2">
      <c r="A345" s="347">
        <f t="shared" ca="1" si="151"/>
        <v>0.01</v>
      </c>
      <c r="B345" s="304">
        <f t="shared" ca="1" si="152"/>
        <v>3.4099999999999713</v>
      </c>
      <c r="D345" s="306">
        <f t="shared" ca="1" si="153"/>
        <v>31.37915544047706</v>
      </c>
      <c r="E345" s="307">
        <f t="shared" ca="1" si="154"/>
        <v>74.345157981000753</v>
      </c>
      <c r="F345" s="304">
        <f t="shared" ca="1" si="155"/>
        <v>80.696058834230442</v>
      </c>
      <c r="G345" s="306">
        <f t="shared" ca="1" si="156"/>
        <v>89.826574064845701</v>
      </c>
      <c r="H345" s="307">
        <f t="shared" ca="1" si="157"/>
        <v>240.80607429042917</v>
      </c>
      <c r="I345" s="304">
        <f t="shared" ca="1" si="158"/>
        <v>257.01435528661602</v>
      </c>
      <c r="J345" s="306">
        <f t="shared" ca="1" si="159"/>
        <v>136.81929952773478</v>
      </c>
      <c r="K345" s="307">
        <f t="shared" ca="1" si="160"/>
        <v>391.83492796708799</v>
      </c>
      <c r="L345" s="304">
        <f t="shared" ca="1" si="145"/>
        <v>415.03509670657138</v>
      </c>
      <c r="M345" s="306">
        <f t="shared" ca="1" si="161"/>
        <v>1.2137586942168239</v>
      </c>
      <c r="N345" s="304">
        <f t="shared" ca="1" si="162"/>
        <v>69.543250525933857</v>
      </c>
      <c r="P345" s="310">
        <f t="shared" ca="1" si="163"/>
        <v>11</v>
      </c>
      <c r="Q345" s="304">
        <f t="shared" ca="1" si="164"/>
        <v>2213.1079019316489</v>
      </c>
      <c r="R345" s="306">
        <f t="shared" ca="1" si="165"/>
        <v>1.3309058540429504</v>
      </c>
      <c r="S345" s="307">
        <f t="shared" ca="1" si="166"/>
        <v>19.620947849514931</v>
      </c>
      <c r="T345" s="304">
        <f t="shared" ca="1" si="146"/>
        <v>192.48149840374148</v>
      </c>
      <c r="U345" s="311">
        <f t="shared" ca="1" si="147"/>
        <v>0</v>
      </c>
      <c r="V345" s="306">
        <f t="shared" ca="1" si="148"/>
        <v>1.1779225507704192</v>
      </c>
      <c r="W345" s="304">
        <f t="shared" ca="1" si="149"/>
        <v>453.58444900821769</v>
      </c>
      <c r="Y345" s="314" t="str">
        <f t="shared" ca="1" si="167"/>
        <v/>
      </c>
      <c r="Z345" s="315" t="str">
        <f t="shared" ca="1" si="168"/>
        <v/>
      </c>
      <c r="AA345" s="316" t="str">
        <f t="shared" ca="1" si="169"/>
        <v/>
      </c>
      <c r="AC345" s="310" t="e">
        <f t="shared" ca="1" si="170"/>
        <v>#N/A</v>
      </c>
      <c r="AD345" s="323" t="e">
        <f t="shared" ca="1" si="171"/>
        <v>#N/A</v>
      </c>
      <c r="AE345" s="324">
        <f t="shared" ca="1" si="150"/>
        <v>391.83492796708799</v>
      </c>
      <c r="AG345" s="306">
        <f t="shared" ca="1" si="172"/>
        <v>80.62324129155958</v>
      </c>
      <c r="AH345" s="304">
        <f t="shared" ca="1" si="173"/>
        <v>89.815043344446565</v>
      </c>
    </row>
    <row r="346" spans="1:34" x14ac:dyDescent="0.2">
      <c r="A346" s="347">
        <f t="shared" ca="1" si="151"/>
        <v>0.01</v>
      </c>
      <c r="B346" s="304">
        <f t="shared" ca="1" si="152"/>
        <v>3.4199999999999711</v>
      </c>
      <c r="D346" s="306">
        <f t="shared" ca="1" si="153"/>
        <v>31.367007353287065</v>
      </c>
      <c r="E346" s="307">
        <f t="shared" ca="1" si="154"/>
        <v>74.27832220998782</v>
      </c>
      <c r="F346" s="304">
        <f t="shared" ca="1" si="155"/>
        <v>80.629760638562814</v>
      </c>
      <c r="G346" s="306">
        <f t="shared" ca="1" si="156"/>
        <v>90.140244138378577</v>
      </c>
      <c r="H346" s="307">
        <f t="shared" ca="1" si="157"/>
        <v>241.54885751252905</v>
      </c>
      <c r="I346" s="304">
        <f t="shared" ca="1" si="158"/>
        <v>257.81992587644299</v>
      </c>
      <c r="J346" s="306">
        <f t="shared" ca="1" si="159"/>
        <v>137.7191336187509</v>
      </c>
      <c r="K346" s="307">
        <f t="shared" ca="1" si="160"/>
        <v>394.24670262610277</v>
      </c>
      <c r="L346" s="304">
        <f t="shared" ca="1" si="145"/>
        <v>417.60869518755726</v>
      </c>
      <c r="M346" s="306">
        <f t="shared" ca="1" si="161"/>
        <v>1.2136257100353272</v>
      </c>
      <c r="N346" s="304">
        <f t="shared" ca="1" si="162"/>
        <v>69.535631093592087</v>
      </c>
      <c r="P346" s="310">
        <f t="shared" ca="1" si="163"/>
        <v>11</v>
      </c>
      <c r="Q346" s="304">
        <f t="shared" ca="1" si="164"/>
        <v>2213.3341426448733</v>
      </c>
      <c r="R346" s="306">
        <f t="shared" ca="1" si="165"/>
        <v>1.3310419093565617</v>
      </c>
      <c r="S346" s="307">
        <f t="shared" ca="1" si="166"/>
        <v>19.607637430421367</v>
      </c>
      <c r="T346" s="304">
        <f t="shared" ca="1" si="146"/>
        <v>192.35092319243361</v>
      </c>
      <c r="U346" s="311">
        <f t="shared" ca="1" si="147"/>
        <v>0</v>
      </c>
      <c r="V346" s="306">
        <f t="shared" ca="1" si="148"/>
        <v>1.1776383869177391</v>
      </c>
      <c r="W346" s="304">
        <f t="shared" ca="1" si="149"/>
        <v>456.32217116066931</v>
      </c>
      <c r="Y346" s="314" t="str">
        <f t="shared" ca="1" si="167"/>
        <v/>
      </c>
      <c r="Z346" s="315" t="str">
        <f t="shared" ca="1" si="168"/>
        <v/>
      </c>
      <c r="AA346" s="316" t="str">
        <f t="shared" ca="1" si="169"/>
        <v/>
      </c>
      <c r="AC346" s="310" t="e">
        <f t="shared" ca="1" si="170"/>
        <v>#N/A</v>
      </c>
      <c r="AD346" s="323" t="e">
        <f t="shared" ca="1" si="171"/>
        <v>#N/A</v>
      </c>
      <c r="AE346" s="324">
        <f t="shared" ca="1" si="150"/>
        <v>394.24670262610277</v>
      </c>
      <c r="AG346" s="306">
        <f t="shared" ca="1" si="172"/>
        <v>80.556831008098683</v>
      </c>
      <c r="AH346" s="304">
        <f t="shared" ca="1" si="173"/>
        <v>89.748175927936813</v>
      </c>
    </row>
    <row r="347" spans="1:34" x14ac:dyDescent="0.2">
      <c r="A347" s="347">
        <f t="shared" ca="1" si="151"/>
        <v>0.01</v>
      </c>
      <c r="B347" s="304">
        <f t="shared" ca="1" si="152"/>
        <v>3.4299999999999708</v>
      </c>
      <c r="D347" s="306">
        <f t="shared" ca="1" si="153"/>
        <v>31.354694083774525</v>
      </c>
      <c r="E347" s="307">
        <f t="shared" ca="1" si="154"/>
        <v>74.211189491830751</v>
      </c>
      <c r="F347" s="304">
        <f t="shared" ca="1" si="155"/>
        <v>80.56312734048683</v>
      </c>
      <c r="G347" s="306">
        <f t="shared" ca="1" si="156"/>
        <v>90.453791079216316</v>
      </c>
      <c r="H347" s="307">
        <f t="shared" ca="1" si="157"/>
        <v>242.29096940744736</v>
      </c>
      <c r="I347" s="304">
        <f t="shared" ca="1" si="158"/>
        <v>258.62482900333276</v>
      </c>
      <c r="J347" s="306">
        <f t="shared" ca="1" si="159"/>
        <v>138.62210379483886</v>
      </c>
      <c r="K347" s="307">
        <f t="shared" ca="1" si="160"/>
        <v>396.66590176070264</v>
      </c>
      <c r="L347" s="304">
        <f t="shared" ca="1" si="145"/>
        <v>420.19034410626153</v>
      </c>
      <c r="M347" s="306">
        <f t="shared" ca="1" si="161"/>
        <v>1.2134930924723517</v>
      </c>
      <c r="N347" s="304">
        <f t="shared" ca="1" si="162"/>
        <v>69.528032666944284</v>
      </c>
      <c r="P347" s="310">
        <f t="shared" ca="1" si="163"/>
        <v>11</v>
      </c>
      <c r="Q347" s="304">
        <f t="shared" ca="1" si="164"/>
        <v>2213.5603833580976</v>
      </c>
      <c r="R347" s="306">
        <f t="shared" ca="1" si="165"/>
        <v>1.3311779646701731</v>
      </c>
      <c r="S347" s="307">
        <f t="shared" ca="1" si="166"/>
        <v>19.594325650774664</v>
      </c>
      <c r="T347" s="304">
        <f t="shared" ca="1" si="146"/>
        <v>192.22033463409946</v>
      </c>
      <c r="U347" s="311">
        <f t="shared" ca="1" si="147"/>
        <v>0</v>
      </c>
      <c r="V347" s="306">
        <f t="shared" ca="1" si="148"/>
        <v>1.1773534157987151</v>
      </c>
      <c r="W347" s="304">
        <f t="shared" ca="1" si="149"/>
        <v>459.06474280271811</v>
      </c>
      <c r="Y347" s="314" t="str">
        <f t="shared" ca="1" si="167"/>
        <v/>
      </c>
      <c r="Z347" s="315" t="str">
        <f t="shared" ca="1" si="168"/>
        <v/>
      </c>
      <c r="AA347" s="316" t="str">
        <f t="shared" ca="1" si="169"/>
        <v/>
      </c>
      <c r="AC347" s="310" t="e">
        <f t="shared" ca="1" si="170"/>
        <v>#N/A</v>
      </c>
      <c r="AD347" s="323" t="e">
        <f t="shared" ca="1" si="171"/>
        <v>#N/A</v>
      </c>
      <c r="AE347" s="324">
        <f t="shared" ca="1" si="150"/>
        <v>396.66590176070264</v>
      </c>
      <c r="AG347" s="306">
        <f t="shared" ca="1" si="172"/>
        <v>80.490085261828227</v>
      </c>
      <c r="AH347" s="304">
        <f t="shared" ca="1" si="173"/>
        <v>89.680974151205646</v>
      </c>
    </row>
    <row r="348" spans="1:34" x14ac:dyDescent="0.2">
      <c r="A348" s="347">
        <f t="shared" ca="1" si="151"/>
        <v>0.01</v>
      </c>
      <c r="B348" s="304">
        <f t="shared" ca="1" si="152"/>
        <v>3.4399999999999706</v>
      </c>
      <c r="D348" s="306">
        <f t="shared" ca="1" si="153"/>
        <v>31.345297930210208</v>
      </c>
      <c r="E348" s="307">
        <f t="shared" ca="1" si="154"/>
        <v>74.152015646472179</v>
      </c>
      <c r="F348" s="304">
        <f t="shared" ca="1" si="155"/>
        <v>80.504963367287459</v>
      </c>
      <c r="G348" s="306">
        <f t="shared" ca="1" si="156"/>
        <v>90.767244058518415</v>
      </c>
      <c r="H348" s="307">
        <f t="shared" ca="1" si="157"/>
        <v>243.03248956391209</v>
      </c>
      <c r="I348" s="304">
        <f t="shared" ca="1" si="158"/>
        <v>259.42914943701237</v>
      </c>
      <c r="J348" s="306">
        <f t="shared" ca="1" si="159"/>
        <v>139.52820897052754</v>
      </c>
      <c r="K348" s="307">
        <f t="shared" ca="1" si="160"/>
        <v>399.09251905555942</v>
      </c>
      <c r="L348" s="304">
        <f t="shared" ca="1" si="145"/>
        <v>422.78003721159217</v>
      </c>
      <c r="M348" s="306">
        <f t="shared" ca="1" si="161"/>
        <v>1.213360839088133</v>
      </c>
      <c r="N348" s="304">
        <f t="shared" ca="1" si="162"/>
        <v>69.52045510620222</v>
      </c>
      <c r="P348" s="310">
        <f t="shared" ca="1" si="163"/>
        <v>12</v>
      </c>
      <c r="Q348" s="304">
        <f t="shared" ca="1" si="164"/>
        <v>2213.9590569394963</v>
      </c>
      <c r="R348" s="306">
        <f t="shared" ca="1" si="165"/>
        <v>1.3314177166510288</v>
      </c>
      <c r="S348" s="307">
        <f t="shared" ca="1" si="166"/>
        <v>19.581011473608154</v>
      </c>
      <c r="T348" s="304">
        <f t="shared" ca="1" si="146"/>
        <v>192.08972255609601</v>
      </c>
      <c r="U348" s="311">
        <f t="shared" ca="1" si="147"/>
        <v>0</v>
      </c>
      <c r="V348" s="306">
        <f t="shared" ca="1" si="148"/>
        <v>1.177067638755364</v>
      </c>
      <c r="W348" s="304">
        <f t="shared" ca="1" si="149"/>
        <v>461.81243352529196</v>
      </c>
      <c r="Y348" s="314" t="str">
        <f t="shared" ca="1" si="167"/>
        <v/>
      </c>
      <c r="Z348" s="315" t="str">
        <f t="shared" ca="1" si="168"/>
        <v/>
      </c>
      <c r="AA348" s="316" t="str">
        <f t="shared" ca="1" si="169"/>
        <v/>
      </c>
      <c r="AC348" s="310" t="e">
        <f t="shared" ca="1" si="170"/>
        <v>#N/A</v>
      </c>
      <c r="AD348" s="323" t="e">
        <f t="shared" ca="1" si="171"/>
        <v>#N/A</v>
      </c>
      <c r="AE348" s="324">
        <f t="shared" ca="1" si="150"/>
        <v>399.09251905555942</v>
      </c>
      <c r="AG348" s="306">
        <f t="shared" ca="1" si="172"/>
        <v>80.431816484746378</v>
      </c>
      <c r="AH348" s="304">
        <f t="shared" ca="1" si="173"/>
        <v>89.622250439006933</v>
      </c>
    </row>
    <row r="349" spans="1:34" x14ac:dyDescent="0.2">
      <c r="A349" s="347">
        <f t="shared" ca="1" si="151"/>
        <v>0.01</v>
      </c>
      <c r="B349" s="304">
        <f t="shared" ca="1" si="152"/>
        <v>3.4499999999999704</v>
      </c>
      <c r="D349" s="306">
        <f t="shared" ca="1" si="153"/>
        <v>31.363503487882326</v>
      </c>
      <c r="E349" s="307">
        <f t="shared" ca="1" si="154"/>
        <v>74.166884097001898</v>
      </c>
      <c r="F349" s="304">
        <f t="shared" ca="1" si="155"/>
        <v>80.525747731346897</v>
      </c>
      <c r="G349" s="306">
        <f t="shared" ca="1" si="156"/>
        <v>91.080879093397243</v>
      </c>
      <c r="H349" s="307">
        <f t="shared" ca="1" si="157"/>
        <v>243.77415840488212</v>
      </c>
      <c r="I349" s="304">
        <f t="shared" ca="1" si="158"/>
        <v>260.23367737945563</v>
      </c>
      <c r="J349" s="306">
        <f t="shared" ca="1" si="159"/>
        <v>140.43744958628713</v>
      </c>
      <c r="K349" s="307">
        <f t="shared" ca="1" si="160"/>
        <v>401.52655229540341</v>
      </c>
      <c r="L349" s="304">
        <f t="shared" ca="1" si="145"/>
        <v>425.37777262632596</v>
      </c>
      <c r="M349" s="306">
        <f t="shared" ca="1" si="161"/>
        <v>1.2132289478675844</v>
      </c>
      <c r="N349" s="304">
        <f t="shared" ca="1" si="162"/>
        <v>69.512898295909963</v>
      </c>
      <c r="P349" s="310">
        <f t="shared" ca="1" si="163"/>
        <v>12</v>
      </c>
      <c r="Q349" s="304">
        <f t="shared" ca="1" si="164"/>
        <v>2215.9096263345141</v>
      </c>
      <c r="R349" s="306">
        <f t="shared" ca="1" si="165"/>
        <v>1.3325907386371147</v>
      </c>
      <c r="S349" s="307">
        <f t="shared" ca="1" si="166"/>
        <v>19.567685566221783</v>
      </c>
      <c r="T349" s="304">
        <f t="shared" ca="1" si="146"/>
        <v>191.95899540463571</v>
      </c>
      <c r="U349" s="311">
        <f t="shared" ca="1" si="147"/>
        <v>0</v>
      </c>
      <c r="V349" s="306">
        <f t="shared" ca="1" si="148"/>
        <v>1.1767810566477901</v>
      </c>
      <c r="W349" s="304">
        <f t="shared" ca="1" si="149"/>
        <v>464.56803486588223</v>
      </c>
      <c r="Y349" s="314" t="str">
        <f t="shared" ca="1" si="167"/>
        <v/>
      </c>
      <c r="Z349" s="315" t="str">
        <f t="shared" ca="1" si="168"/>
        <v/>
      </c>
      <c r="AA349" s="316" t="str">
        <f t="shared" ca="1" si="169"/>
        <v/>
      </c>
      <c r="AC349" s="310" t="e">
        <f t="shared" ca="1" si="170"/>
        <v>#N/A</v>
      </c>
      <c r="AD349" s="323" t="e">
        <f t="shared" ca="1" si="171"/>
        <v>#N/A</v>
      </c>
      <c r="AE349" s="324">
        <f t="shared" ca="1" si="150"/>
        <v>401.52655229540341</v>
      </c>
      <c r="AG349" s="306">
        <f t="shared" ca="1" si="172"/>
        <v>80.452567902261947</v>
      </c>
      <c r="AH349" s="304">
        <f t="shared" ca="1" si="173"/>
        <v>89.642548009724138</v>
      </c>
    </row>
    <row r="350" spans="1:34" x14ac:dyDescent="0.2">
      <c r="A350" s="347">
        <f t="shared" ca="1" si="151"/>
        <v>0.01</v>
      </c>
      <c r="B350" s="304">
        <f t="shared" ca="1" si="152"/>
        <v>3.4599999999999702</v>
      </c>
      <c r="D350" s="306">
        <f t="shared" ca="1" si="153"/>
        <v>31.38157002607603</v>
      </c>
      <c r="E350" s="307">
        <f t="shared" ca="1" si="154"/>
        <v>74.181457907273668</v>
      </c>
      <c r="F350" s="304">
        <f t="shared" ca="1" si="155"/>
        <v>80.546208070585976</v>
      </c>
      <c r="G350" s="306">
        <f t="shared" ca="1" si="156"/>
        <v>91.394694793658005</v>
      </c>
      <c r="H350" s="307">
        <f t="shared" ca="1" si="157"/>
        <v>244.51597298395484</v>
      </c>
      <c r="I350" s="304">
        <f t="shared" ca="1" si="158"/>
        <v>261.03840958892624</v>
      </c>
      <c r="J350" s="306">
        <f t="shared" ca="1" si="159"/>
        <v>141.34982745572242</v>
      </c>
      <c r="K350" s="307">
        <f t="shared" ca="1" si="160"/>
        <v>403.9680029523476</v>
      </c>
      <c r="L350" s="304">
        <f t="shared" ca="1" si="145"/>
        <v>427.98355240718121</v>
      </c>
      <c r="M350" s="306">
        <f t="shared" ca="1" si="161"/>
        <v>1.2130974168110271</v>
      </c>
      <c r="N350" s="304">
        <f t="shared" ca="1" si="162"/>
        <v>69.505362121494329</v>
      </c>
      <c r="P350" s="310">
        <f t="shared" ca="1" si="163"/>
        <v>12</v>
      </c>
      <c r="Q350" s="304">
        <f t="shared" ca="1" si="164"/>
        <v>2217.8601957295318</v>
      </c>
      <c r="R350" s="306">
        <f t="shared" ca="1" si="165"/>
        <v>1.3337637606232007</v>
      </c>
      <c r="S350" s="307">
        <f t="shared" ca="1" si="166"/>
        <v>19.554347928615552</v>
      </c>
      <c r="T350" s="304">
        <f t="shared" ca="1" si="146"/>
        <v>191.82815317971858</v>
      </c>
      <c r="U350" s="311">
        <f t="shared" ca="1" si="147"/>
        <v>0</v>
      </c>
      <c r="V350" s="306">
        <f t="shared" ca="1" si="148"/>
        <v>1.1764936699033226</v>
      </c>
      <c r="W350" s="304">
        <f t="shared" ca="1" si="149"/>
        <v>467.33152934462669</v>
      </c>
      <c r="Y350" s="314" t="str">
        <f t="shared" ca="1" si="167"/>
        <v/>
      </c>
      <c r="Z350" s="315" t="str">
        <f t="shared" ca="1" si="168"/>
        <v/>
      </c>
      <c r="AA350" s="316" t="str">
        <f t="shared" ca="1" si="169"/>
        <v/>
      </c>
      <c r="AC350" s="310" t="e">
        <f t="shared" ca="1" si="170"/>
        <v>#N/A</v>
      </c>
      <c r="AD350" s="323" t="e">
        <f t="shared" ca="1" si="171"/>
        <v>#N/A</v>
      </c>
      <c r="AE350" s="324">
        <f t="shared" ca="1" si="150"/>
        <v>403.9680029523476</v>
      </c>
      <c r="AG350" s="306">
        <f t="shared" ca="1" si="172"/>
        <v>80.472995143372259</v>
      </c>
      <c r="AH350" s="304">
        <f t="shared" ca="1" si="173"/>
        <v>89.662522486771692</v>
      </c>
    </row>
    <row r="351" spans="1:34" x14ac:dyDescent="0.2">
      <c r="A351" s="347">
        <f t="shared" ca="1" si="151"/>
        <v>0.01</v>
      </c>
      <c r="B351" s="304">
        <f t="shared" ca="1" si="152"/>
        <v>3.46999999999997</v>
      </c>
      <c r="D351" s="306">
        <f t="shared" ca="1" si="153"/>
        <v>31.399497670779446</v>
      </c>
      <c r="E351" s="307">
        <f t="shared" ca="1" si="154"/>
        <v>74.195737329852335</v>
      </c>
      <c r="F351" s="304">
        <f t="shared" ca="1" si="155"/>
        <v>80.566344660147806</v>
      </c>
      <c r="G351" s="306">
        <f t="shared" ca="1" si="156"/>
        <v>91.708689770365794</v>
      </c>
      <c r="H351" s="307">
        <f t="shared" ca="1" si="157"/>
        <v>245.25793035725337</v>
      </c>
      <c r="I351" s="304">
        <f t="shared" ca="1" si="158"/>
        <v>261.84334282643226</v>
      </c>
      <c r="J351" s="306">
        <f t="shared" ca="1" si="159"/>
        <v>142.26534437854255</v>
      </c>
      <c r="K351" s="307">
        <f t="shared" ca="1" si="160"/>
        <v>406.41687246905366</v>
      </c>
      <c r="L351" s="304">
        <f t="shared" ca="1" si="145"/>
        <v>430.59737857849569</v>
      </c>
      <c r="M351" s="306">
        <f t="shared" ca="1" si="161"/>
        <v>1.2129662439340338</v>
      </c>
      <c r="N351" s="304">
        <f t="shared" ca="1" si="162"/>
        <v>69.497846469256032</v>
      </c>
      <c r="P351" s="310">
        <f t="shared" ca="1" si="163"/>
        <v>12</v>
      </c>
      <c r="Q351" s="304">
        <f t="shared" ca="1" si="164"/>
        <v>2219.8107651245496</v>
      </c>
      <c r="R351" s="306">
        <f t="shared" ca="1" si="165"/>
        <v>1.3349367826092864</v>
      </c>
      <c r="S351" s="307">
        <f t="shared" ca="1" si="166"/>
        <v>19.540998560789461</v>
      </c>
      <c r="T351" s="304">
        <f t="shared" ca="1" si="146"/>
        <v>191.69719588134461</v>
      </c>
      <c r="U351" s="311">
        <f t="shared" ca="1" si="147"/>
        <v>0</v>
      </c>
      <c r="V351" s="306">
        <f t="shared" ca="1" si="148"/>
        <v>1.1762054789543901</v>
      </c>
      <c r="W351" s="304">
        <f t="shared" ca="1" si="149"/>
        <v>470.10289932155484</v>
      </c>
      <c r="Y351" s="314" t="str">
        <f t="shared" ca="1" si="167"/>
        <v/>
      </c>
      <c r="Z351" s="315" t="str">
        <f t="shared" ca="1" si="168"/>
        <v/>
      </c>
      <c r="AA351" s="316" t="str">
        <f t="shared" ca="1" si="169"/>
        <v/>
      </c>
      <c r="AC351" s="310" t="e">
        <f t="shared" ca="1" si="170"/>
        <v>#N/A</v>
      </c>
      <c r="AD351" s="323" t="e">
        <f t="shared" ca="1" si="171"/>
        <v>#N/A</v>
      </c>
      <c r="AE351" s="324">
        <f t="shared" ca="1" si="150"/>
        <v>406.41687246905366</v>
      </c>
      <c r="AG351" s="306">
        <f t="shared" ca="1" si="172"/>
        <v>80.493098482535373</v>
      </c>
      <c r="AH351" s="304">
        <f t="shared" ca="1" si="173"/>
        <v>89.682174139064173</v>
      </c>
    </row>
    <row r="352" spans="1:34" x14ac:dyDescent="0.2">
      <c r="A352" s="347">
        <f t="shared" ca="1" si="151"/>
        <v>0.01</v>
      </c>
      <c r="B352" s="304">
        <f t="shared" ca="1" si="152"/>
        <v>3.4799999999999698</v>
      </c>
      <c r="D352" s="306">
        <f t="shared" ca="1" si="153"/>
        <v>31.417286550328928</v>
      </c>
      <c r="E352" s="307">
        <f t="shared" ca="1" si="154"/>
        <v>74.209722624630743</v>
      </c>
      <c r="F352" s="304">
        <f t="shared" ca="1" si="155"/>
        <v>80.586157782897871</v>
      </c>
      <c r="G352" s="306">
        <f t="shared" ca="1" si="156"/>
        <v>92.022862635869089</v>
      </c>
      <c r="H352" s="307">
        <f t="shared" ca="1" si="157"/>
        <v>246.00002758349967</v>
      </c>
      <c r="I352" s="304">
        <f t="shared" ca="1" si="158"/>
        <v>262.64847385580339</v>
      </c>
      <c r="J352" s="306">
        <f t="shared" ca="1" si="159"/>
        <v>143.18400214057374</v>
      </c>
      <c r="K352" s="307">
        <f t="shared" ca="1" si="160"/>
        <v>408.87316225875742</v>
      </c>
      <c r="L352" s="304">
        <f t="shared" ca="1" si="145"/>
        <v>433.21925313225398</v>
      </c>
      <c r="M352" s="306">
        <f t="shared" ca="1" si="161"/>
        <v>1.2128354272672754</v>
      </c>
      <c r="N352" s="304">
        <f t="shared" ca="1" si="162"/>
        <v>69.490351226360801</v>
      </c>
      <c r="P352" s="310">
        <f t="shared" ca="1" si="163"/>
        <v>12</v>
      </c>
      <c r="Q352" s="304">
        <f t="shared" ca="1" si="164"/>
        <v>2221.7613345195673</v>
      </c>
      <c r="R352" s="306">
        <f t="shared" ca="1" si="165"/>
        <v>1.3361098045953723</v>
      </c>
      <c r="S352" s="307">
        <f t="shared" ca="1" si="166"/>
        <v>19.527637462743506</v>
      </c>
      <c r="T352" s="304">
        <f t="shared" ca="1" si="146"/>
        <v>191.5661235095138</v>
      </c>
      <c r="U352" s="311">
        <f t="shared" ca="1" si="147"/>
        <v>0</v>
      </c>
      <c r="V352" s="306">
        <f t="shared" ca="1" si="148"/>
        <v>1.1759164842385113</v>
      </c>
      <c r="W352" s="304">
        <f t="shared" ca="1" si="149"/>
        <v>472.88212699721612</v>
      </c>
      <c r="Y352" s="314" t="str">
        <f t="shared" ca="1" si="167"/>
        <v/>
      </c>
      <c r="Z352" s="315" t="str">
        <f t="shared" ca="1" si="168"/>
        <v/>
      </c>
      <c r="AA352" s="316" t="str">
        <f t="shared" ca="1" si="169"/>
        <v/>
      </c>
      <c r="AC352" s="310" t="e">
        <f t="shared" ca="1" si="170"/>
        <v>#N/A</v>
      </c>
      <c r="AD352" s="323" t="e">
        <f t="shared" ca="1" si="171"/>
        <v>#N/A</v>
      </c>
      <c r="AE352" s="324">
        <f t="shared" ca="1" si="150"/>
        <v>408.87316225875742</v>
      </c>
      <c r="AG352" s="306">
        <f t="shared" ca="1" si="172"/>
        <v>80.512878201940822</v>
      </c>
      <c r="AH352" s="304">
        <f t="shared" ca="1" si="173"/>
        <v>89.701503243286652</v>
      </c>
    </row>
    <row r="353" spans="1:34" x14ac:dyDescent="0.2">
      <c r="A353" s="347">
        <f t="shared" ca="1" si="151"/>
        <v>0.01</v>
      </c>
      <c r="B353" s="304">
        <f t="shared" ca="1" si="152"/>
        <v>3.4899999999999696</v>
      </c>
      <c r="D353" s="306">
        <f t="shared" ca="1" si="153"/>
        <v>31.434936795417286</v>
      </c>
      <c r="E353" s="307">
        <f t="shared" ca="1" si="154"/>
        <v>74.223414058823451</v>
      </c>
      <c r="F353" s="304">
        <f t="shared" ca="1" si="155"/>
        <v>80.605647729420483</v>
      </c>
      <c r="G353" s="306">
        <f t="shared" ca="1" si="156"/>
        <v>92.337212003823268</v>
      </c>
      <c r="H353" s="307">
        <f t="shared" ca="1" si="157"/>
        <v>246.74226172408791</v>
      </c>
      <c r="I353" s="304">
        <f t="shared" ca="1" si="158"/>
        <v>263.45379944376833</v>
      </c>
      <c r="J353" s="306">
        <f t="shared" ca="1" si="159"/>
        <v>144.1058025137722</v>
      </c>
      <c r="K353" s="307">
        <f t="shared" ca="1" si="160"/>
        <v>411.33687370529537</v>
      </c>
      <c r="L353" s="304">
        <f t="shared" ca="1" si="145"/>
        <v>435.84917802811611</v>
      </c>
      <c r="M353" s="306">
        <f t="shared" ca="1" si="161"/>
        <v>1.2127049648563706</v>
      </c>
      <c r="N353" s="304">
        <f t="shared" ca="1" si="162"/>
        <v>69.482876280830851</v>
      </c>
      <c r="P353" s="310">
        <f t="shared" ca="1" si="163"/>
        <v>12</v>
      </c>
      <c r="Q353" s="304">
        <f t="shared" ca="1" si="164"/>
        <v>2223.711903914585</v>
      </c>
      <c r="R353" s="306">
        <f t="shared" ca="1" si="165"/>
        <v>1.337282826581458</v>
      </c>
      <c r="S353" s="307">
        <f t="shared" ca="1" si="166"/>
        <v>19.514264634477691</v>
      </c>
      <c r="T353" s="304">
        <f t="shared" ca="1" si="146"/>
        <v>191.43493606422615</v>
      </c>
      <c r="U353" s="311">
        <f t="shared" ca="1" si="147"/>
        <v>0</v>
      </c>
      <c r="V353" s="306">
        <f t="shared" ca="1" si="148"/>
        <v>1.1756266861982847</v>
      </c>
      <c r="W353" s="304">
        <f t="shared" ca="1" si="149"/>
        <v>475.66919441331538</v>
      </c>
      <c r="Y353" s="314" t="str">
        <f t="shared" ca="1" si="167"/>
        <v/>
      </c>
      <c r="Z353" s="315" t="str">
        <f t="shared" ca="1" si="168"/>
        <v/>
      </c>
      <c r="AA353" s="316" t="str">
        <f t="shared" ca="1" si="169"/>
        <v/>
      </c>
      <c r="AC353" s="310" t="e">
        <f t="shared" ca="1" si="170"/>
        <v>#N/A</v>
      </c>
      <c r="AD353" s="323" t="e">
        <f t="shared" ca="1" si="171"/>
        <v>#N/A</v>
      </c>
      <c r="AE353" s="324">
        <f t="shared" ca="1" si="150"/>
        <v>411.33687370529537</v>
      </c>
      <c r="AG353" s="306">
        <f t="shared" ca="1" si="172"/>
        <v>80.5323345915061</v>
      </c>
      <c r="AH353" s="304">
        <f t="shared" ca="1" si="173"/>
        <v>89.720510083890787</v>
      </c>
    </row>
    <row r="354" spans="1:34" x14ac:dyDescent="0.2">
      <c r="A354" s="347">
        <f t="shared" ca="1" si="151"/>
        <v>0.01</v>
      </c>
      <c r="B354" s="304">
        <f t="shared" ca="1" si="152"/>
        <v>3.4999999999999694</v>
      </c>
      <c r="D354" s="306">
        <f t="shared" ca="1" si="153"/>
        <v>31.452448539101741</v>
      </c>
      <c r="E354" s="307">
        <f t="shared" ca="1" si="154"/>
        <v>74.236811906960256</v>
      </c>
      <c r="F354" s="304">
        <f t="shared" ca="1" si="155"/>
        <v>80.624814798015137</v>
      </c>
      <c r="G354" s="306">
        <f t="shared" ca="1" si="156"/>
        <v>92.651736489214287</v>
      </c>
      <c r="H354" s="307">
        <f t="shared" ca="1" si="157"/>
        <v>247.48462984315751</v>
      </c>
      <c r="I354" s="304">
        <f t="shared" ca="1" si="158"/>
        <v>264.25931636003202</v>
      </c>
      <c r="J354" s="306">
        <f t="shared" ca="1" si="159"/>
        <v>145.03074725623739</v>
      </c>
      <c r="K354" s="307">
        <f t="shared" ca="1" si="160"/>
        <v>413.8080081631316</v>
      </c>
      <c r="L354" s="304">
        <f t="shared" ca="1" si="145"/>
        <v>438.4871551934458</v>
      </c>
      <c r="M354" s="306">
        <f t="shared" ca="1" si="161"/>
        <v>1.2125748547617359</v>
      </c>
      <c r="N354" s="304">
        <f t="shared" ca="1" si="162"/>
        <v>69.475421521536234</v>
      </c>
      <c r="P354" s="310">
        <f t="shared" ca="1" si="163"/>
        <v>12</v>
      </c>
      <c r="Q354" s="304">
        <f t="shared" ca="1" si="164"/>
        <v>2225.6624733096028</v>
      </c>
      <c r="R354" s="306">
        <f t="shared" ca="1" si="165"/>
        <v>1.338455848567544</v>
      </c>
      <c r="S354" s="307">
        <f t="shared" ca="1" si="166"/>
        <v>19.500880075992015</v>
      </c>
      <c r="T354" s="304">
        <f t="shared" ca="1" si="146"/>
        <v>191.30363354548169</v>
      </c>
      <c r="U354" s="311">
        <f t="shared" ca="1" si="147"/>
        <v>0</v>
      </c>
      <c r="V354" s="306">
        <f t="shared" ca="1" si="148"/>
        <v>1.1753360852813812</v>
      </c>
      <c r="W354" s="304">
        <f t="shared" ca="1" si="149"/>
        <v>478.4640834533559</v>
      </c>
      <c r="Y354" s="314" t="str">
        <f t="shared" ca="1" si="167"/>
        <v/>
      </c>
      <c r="Z354" s="315" t="str">
        <f t="shared" ca="1" si="168"/>
        <v/>
      </c>
      <c r="AA354" s="316" t="str">
        <f t="shared" ca="1" si="169"/>
        <v>Satellite</v>
      </c>
      <c r="AC354" s="310" t="e">
        <f t="shared" ca="1" si="170"/>
        <v>#N/A</v>
      </c>
      <c r="AD354" s="323" t="e">
        <f t="shared" ca="1" si="171"/>
        <v>#N/A</v>
      </c>
      <c r="AE354" s="324">
        <f t="shared" ca="1" si="150"/>
        <v>413.8080081631316</v>
      </c>
      <c r="AG354" s="306">
        <f t="shared" ca="1" si="172"/>
        <v>80.551467948872741</v>
      </c>
      <c r="AH354" s="304">
        <f t="shared" ca="1" si="173"/>
        <v>89.739194953090589</v>
      </c>
    </row>
    <row r="355" spans="1:34" x14ac:dyDescent="0.2">
      <c r="A355" s="347">
        <f t="shared" ca="1" si="151"/>
        <v>0.01</v>
      </c>
      <c r="B355" s="304">
        <f t="shared" ca="1" si="152"/>
        <v>3.5099999999999691</v>
      </c>
      <c r="D355" s="306">
        <f t="shared" ca="1" si="153"/>
        <v>31.469821916811672</v>
      </c>
      <c r="E355" s="307">
        <f t="shared" ca="1" si="154"/>
        <v>74.249916450879113</v>
      </c>
      <c r="F355" s="304">
        <f t="shared" ca="1" si="155"/>
        <v>80.643659294692029</v>
      </c>
      <c r="G355" s="306">
        <f t="shared" ca="1" si="156"/>
        <v>92.966434708382408</v>
      </c>
      <c r="H355" s="307">
        <f t="shared" ca="1" si="157"/>
        <v>248.22712900766629</v>
      </c>
      <c r="I355" s="304">
        <f t="shared" ca="1" si="158"/>
        <v>265.06502137735288</v>
      </c>
      <c r="J355" s="306">
        <f t="shared" ca="1" si="159"/>
        <v>145.95883811222538</v>
      </c>
      <c r="K355" s="307">
        <f t="shared" ca="1" si="160"/>
        <v>416.28656695738573</v>
      </c>
      <c r="L355" s="304">
        <f t="shared" ca="1" si="145"/>
        <v>441.13318652334107</v>
      </c>
      <c r="M355" s="306">
        <f t="shared" ca="1" si="161"/>
        <v>1.2124450950584384</v>
      </c>
      <c r="N355" s="304">
        <f t="shared" ca="1" si="162"/>
        <v>69.467986838186434</v>
      </c>
      <c r="P355" s="310">
        <f t="shared" ca="1" si="163"/>
        <v>12</v>
      </c>
      <c r="Q355" s="304">
        <f t="shared" ca="1" si="164"/>
        <v>2227.6130427046205</v>
      </c>
      <c r="R355" s="306">
        <f t="shared" ca="1" si="165"/>
        <v>1.3396288705536297</v>
      </c>
      <c r="S355" s="307">
        <f t="shared" ca="1" si="166"/>
        <v>19.487483787286479</v>
      </c>
      <c r="T355" s="304">
        <f t="shared" ca="1" si="146"/>
        <v>191.17221595328036</v>
      </c>
      <c r="U355" s="311">
        <f t="shared" ca="1" si="147"/>
        <v>0</v>
      </c>
      <c r="V355" s="306">
        <f t="shared" ca="1" si="148"/>
        <v>1.1750446819405322</v>
      </c>
      <c r="W355" s="304">
        <f t="shared" ca="1" si="149"/>
        <v>481.26677584329099</v>
      </c>
      <c r="Y355" s="314" t="str">
        <f t="shared" ca="1" si="167"/>
        <v/>
      </c>
      <c r="Z355" s="315" t="str">
        <f t="shared" ca="1" si="168"/>
        <v/>
      </c>
      <c r="AA355" s="316" t="str">
        <f t="shared" ca="1" si="169"/>
        <v/>
      </c>
      <c r="AC355" s="310" t="e">
        <f t="shared" ca="1" si="170"/>
        <v>#N/A</v>
      </c>
      <c r="AD355" s="323" t="e">
        <f t="shared" ca="1" si="171"/>
        <v>#N/A</v>
      </c>
      <c r="AE355" s="324">
        <f t="shared" ca="1" si="150"/>
        <v>416.28656695738573</v>
      </c>
      <c r="AG355" s="306">
        <f t="shared" ca="1" si="172"/>
        <v>80.570278579402071</v>
      </c>
      <c r="AH355" s="304">
        <f t="shared" ca="1" si="173"/>
        <v>89.75755815085779</v>
      </c>
    </row>
    <row r="356" spans="1:34" x14ac:dyDescent="0.2">
      <c r="A356" s="347">
        <f t="shared" ca="1" si="151"/>
        <v>0.01</v>
      </c>
      <c r="B356" s="304">
        <f t="shared" ca="1" si="152"/>
        <v>3.5199999999999689</v>
      </c>
      <c r="D356" s="306">
        <f t="shared" ca="1" si="153"/>
        <v>31.487057066356179</v>
      </c>
      <c r="E356" s="307">
        <f t="shared" ca="1" si="154"/>
        <v>74.262727979719045</v>
      </c>
      <c r="F356" s="304">
        <f t="shared" ca="1" si="155"/>
        <v>80.662181533167796</v>
      </c>
      <c r="G356" s="306">
        <f t="shared" ca="1" si="156"/>
        <v>93.281305279045966</v>
      </c>
      <c r="H356" s="307">
        <f t="shared" ca="1" si="157"/>
        <v>248.9697562874635</v>
      </c>
      <c r="I356" s="304">
        <f t="shared" ca="1" si="158"/>
        <v>265.87091127161983</v>
      </c>
      <c r="J356" s="306">
        <f t="shared" ca="1" si="159"/>
        <v>146.89007681216253</v>
      </c>
      <c r="K356" s="307">
        <f t="shared" ca="1" si="160"/>
        <v>418.77255138386136</v>
      </c>
      <c r="L356" s="304">
        <f t="shared" ca="1" si="145"/>
        <v>443.78727388066437</v>
      </c>
      <c r="M356" s="306">
        <f t="shared" ca="1" si="161"/>
        <v>1.2123156838360505</v>
      </c>
      <c r="N356" s="304">
        <f t="shared" ca="1" si="162"/>
        <v>69.460572121321974</v>
      </c>
      <c r="P356" s="310">
        <f t="shared" ca="1" si="163"/>
        <v>12</v>
      </c>
      <c r="Q356" s="304">
        <f t="shared" ca="1" si="164"/>
        <v>2229.5636120996382</v>
      </c>
      <c r="R356" s="306">
        <f t="shared" ca="1" si="165"/>
        <v>1.3408018925397156</v>
      </c>
      <c r="S356" s="307">
        <f t="shared" ca="1" si="166"/>
        <v>19.474075768361082</v>
      </c>
      <c r="T356" s="304">
        <f t="shared" ca="1" si="146"/>
        <v>191.04068328762222</v>
      </c>
      <c r="U356" s="311">
        <f t="shared" ca="1" si="147"/>
        <v>0</v>
      </c>
      <c r="V356" s="306">
        <f t="shared" ca="1" si="148"/>
        <v>1.1747524766335222</v>
      </c>
      <c r="W356" s="304">
        <f t="shared" ca="1" si="149"/>
        <v>484.07725315218215</v>
      </c>
      <c r="Y356" s="314" t="str">
        <f t="shared" ca="1" si="167"/>
        <v/>
      </c>
      <c r="Z356" s="315" t="str">
        <f t="shared" ca="1" si="168"/>
        <v/>
      </c>
      <c r="AA356" s="316" t="str">
        <f t="shared" ca="1" si="169"/>
        <v/>
      </c>
      <c r="AC356" s="310" t="e">
        <f t="shared" ca="1" si="170"/>
        <v>#N/A</v>
      </c>
      <c r="AD356" s="323" t="e">
        <f t="shared" ca="1" si="171"/>
        <v>#N/A</v>
      </c>
      <c r="AE356" s="324">
        <f t="shared" ca="1" si="150"/>
        <v>418.77255138386136</v>
      </c>
      <c r="AG356" s="306">
        <f t="shared" ca="1" si="172"/>
        <v>80.588766796170589</v>
      </c>
      <c r="AH356" s="304">
        <f t="shared" ca="1" si="173"/>
        <v>89.775599984916866</v>
      </c>
    </row>
    <row r="357" spans="1:34" x14ac:dyDescent="0.2">
      <c r="A357" s="347">
        <f t="shared" ca="1" si="151"/>
        <v>0.01</v>
      </c>
      <c r="B357" s="304">
        <f t="shared" ca="1" si="152"/>
        <v>3.5299999999999687</v>
      </c>
      <c r="D357" s="306">
        <f t="shared" ca="1" si="153"/>
        <v>31.504154127931351</v>
      </c>
      <c r="E357" s="307">
        <f t="shared" ca="1" si="154"/>
        <v>74.2752467899126</v>
      </c>
      <c r="F357" s="304">
        <f t="shared" ca="1" si="155"/>
        <v>80.680381834860427</v>
      </c>
      <c r="G357" s="306">
        <f t="shared" ca="1" si="156"/>
        <v>93.59634682032528</v>
      </c>
      <c r="H357" s="307">
        <f t="shared" ca="1" si="157"/>
        <v>249.71250875536262</v>
      </c>
      <c r="I357" s="304">
        <f t="shared" ca="1" si="158"/>
        <v>266.67698282192947</v>
      </c>
      <c r="J357" s="306">
        <f t="shared" ca="1" si="159"/>
        <v>147.82446507265939</v>
      </c>
      <c r="K357" s="307">
        <f t="shared" ca="1" si="160"/>
        <v>421.2659627090755</v>
      </c>
      <c r="L357" s="304">
        <f t="shared" ca="1" si="145"/>
        <v>446.44941909607417</v>
      </c>
      <c r="M357" s="306">
        <f t="shared" ca="1" si="161"/>
        <v>1.2121866191985051</v>
      </c>
      <c r="N357" s="304">
        <f t="shared" ca="1" si="162"/>
        <v>69.453177262306227</v>
      </c>
      <c r="P357" s="310">
        <f t="shared" ca="1" si="163"/>
        <v>12</v>
      </c>
      <c r="Q357" s="304">
        <f t="shared" ca="1" si="164"/>
        <v>2231.514181494656</v>
      </c>
      <c r="R357" s="306">
        <f t="shared" ca="1" si="165"/>
        <v>1.3419749145258015</v>
      </c>
      <c r="S357" s="307">
        <f t="shared" ca="1" si="166"/>
        <v>19.460656019215826</v>
      </c>
      <c r="T357" s="304">
        <f t="shared" ca="1" si="146"/>
        <v>190.90903554850726</v>
      </c>
      <c r="U357" s="311">
        <f t="shared" ca="1" si="147"/>
        <v>0</v>
      </c>
      <c r="V357" s="306">
        <f t="shared" ca="1" si="148"/>
        <v>1.1744594698231765</v>
      </c>
      <c r="W357" s="304">
        <f t="shared" ca="1" si="149"/>
        <v>486.895496792865</v>
      </c>
      <c r="Y357" s="314" t="str">
        <f t="shared" ca="1" si="167"/>
        <v/>
      </c>
      <c r="Z357" s="315" t="str">
        <f t="shared" ca="1" si="168"/>
        <v/>
      </c>
      <c r="AA357" s="316" t="str">
        <f t="shared" ca="1" si="169"/>
        <v/>
      </c>
      <c r="AC357" s="310" t="e">
        <f t="shared" ca="1" si="170"/>
        <v>#N/A</v>
      </c>
      <c r="AD357" s="323" t="e">
        <f t="shared" ca="1" si="171"/>
        <v>#N/A</v>
      </c>
      <c r="AE357" s="324">
        <f t="shared" ca="1" si="150"/>
        <v>421.2659627090755</v>
      </c>
      <c r="AG357" s="306">
        <f t="shared" ca="1" si="172"/>
        <v>80.606932919965018</v>
      </c>
      <c r="AH357" s="304">
        <f t="shared" ca="1" si="173"/>
        <v>89.793320770739754</v>
      </c>
    </row>
    <row r="358" spans="1:34" x14ac:dyDescent="0.2">
      <c r="A358" s="347">
        <f t="shared" ca="1" si="151"/>
        <v>0.01</v>
      </c>
      <c r="B358" s="304">
        <f t="shared" ca="1" si="152"/>
        <v>3.5399999999999685</v>
      </c>
      <c r="D358" s="306">
        <f t="shared" ca="1" si="153"/>
        <v>31.521113244127346</v>
      </c>
      <c r="E358" s="307">
        <f t="shared" ca="1" si="154"/>
        <v>74.28747318517803</v>
      </c>
      <c r="F358" s="304">
        <f t="shared" ca="1" si="155"/>
        <v>80.698260528884049</v>
      </c>
      <c r="G358" s="306">
        <f t="shared" ca="1" si="156"/>
        <v>93.911557952766557</v>
      </c>
      <c r="H358" s="307">
        <f t="shared" ca="1" si="157"/>
        <v>250.45538348721439</v>
      </c>
      <c r="I358" s="304">
        <f t="shared" ca="1" si="158"/>
        <v>267.4832328106632</v>
      </c>
      <c r="J358" s="306">
        <f t="shared" ca="1" si="159"/>
        <v>148.76200459652486</v>
      </c>
      <c r="K358" s="307">
        <f t="shared" ca="1" si="160"/>
        <v>423.76680217028837</v>
      </c>
      <c r="L358" s="304">
        <f t="shared" ca="1" si="145"/>
        <v>449.11962396805689</v>
      </c>
      <c r="M358" s="306">
        <f t="shared" ca="1" si="161"/>
        <v>1.212057899263955</v>
      </c>
      <c r="N358" s="304">
        <f t="shared" ca="1" si="162"/>
        <v>69.445802153317317</v>
      </c>
      <c r="P358" s="310">
        <f t="shared" ca="1" si="163"/>
        <v>12</v>
      </c>
      <c r="Q358" s="304">
        <f t="shared" ca="1" si="164"/>
        <v>2233.4647508896737</v>
      </c>
      <c r="R358" s="306">
        <f t="shared" ca="1" si="165"/>
        <v>1.3431479365118872</v>
      </c>
      <c r="S358" s="307">
        <f t="shared" ca="1" si="166"/>
        <v>19.447224539850708</v>
      </c>
      <c r="T358" s="304">
        <f t="shared" ca="1" si="146"/>
        <v>190.77727273593547</v>
      </c>
      <c r="U358" s="311">
        <f t="shared" ca="1" si="147"/>
        <v>0</v>
      </c>
      <c r="V358" s="306">
        <f t="shared" ca="1" si="148"/>
        <v>1.1741656619773546</v>
      </c>
      <c r="W358" s="304">
        <f t="shared" ca="1" si="149"/>
        <v>489.72148802262438</v>
      </c>
      <c r="Y358" s="314" t="str">
        <f t="shared" ca="1" si="167"/>
        <v/>
      </c>
      <c r="Z358" s="315" t="str">
        <f t="shared" ca="1" si="168"/>
        <v/>
      </c>
      <c r="AA358" s="316" t="str">
        <f t="shared" ca="1" si="169"/>
        <v/>
      </c>
      <c r="AC358" s="310" t="e">
        <f t="shared" ca="1" si="170"/>
        <v>#N/A</v>
      </c>
      <c r="AD358" s="323" t="e">
        <f t="shared" ca="1" si="171"/>
        <v>#N/A</v>
      </c>
      <c r="AE358" s="324">
        <f t="shared" ca="1" si="150"/>
        <v>423.76680217028837</v>
      </c>
      <c r="AG358" s="306">
        <f t="shared" ca="1" si="172"/>
        <v>80.624777279276941</v>
      </c>
      <c r="AH358" s="304">
        <f t="shared" ca="1" si="173"/>
        <v>89.810720831540138</v>
      </c>
    </row>
    <row r="359" spans="1:34" x14ac:dyDescent="0.2">
      <c r="A359" s="347">
        <f t="shared" ca="1" si="151"/>
        <v>0.01</v>
      </c>
      <c r="B359" s="304">
        <f t="shared" ca="1" si="152"/>
        <v>3.5499999999999683</v>
      </c>
      <c r="D359" s="306">
        <f t="shared" ca="1" si="153"/>
        <v>31.537934559935209</v>
      </c>
      <c r="E359" s="307">
        <f t="shared" ca="1" si="154"/>
        <v>74.299407476511249</v>
      </c>
      <c r="F359" s="304">
        <f t="shared" ca="1" si="155"/>
        <v>80.715817952043395</v>
      </c>
      <c r="G359" s="306">
        <f t="shared" ca="1" si="156"/>
        <v>94.226937298365911</v>
      </c>
      <c r="H359" s="307">
        <f t="shared" ca="1" si="157"/>
        <v>251.1983775619795</v>
      </c>
      <c r="I359" s="304">
        <f t="shared" ca="1" si="158"/>
        <v>268.28965802356413</v>
      </c>
      <c r="J359" s="306">
        <f t="shared" ca="1" si="159"/>
        <v>149.70269707278052</v>
      </c>
      <c r="K359" s="307">
        <f t="shared" ca="1" si="160"/>
        <v>426.27507097553433</v>
      </c>
      <c r="L359" s="304">
        <f t="shared" ca="1" si="145"/>
        <v>451.79789026295987</v>
      </c>
      <c r="M359" s="306">
        <f t="shared" ca="1" si="161"/>
        <v>1.2119295221646322</v>
      </c>
      <c r="N359" s="304">
        <f t="shared" ca="1" si="162"/>
        <v>69.43844668733999</v>
      </c>
      <c r="P359" s="310">
        <f t="shared" ca="1" si="163"/>
        <v>12</v>
      </c>
      <c r="Q359" s="304">
        <f t="shared" ca="1" si="164"/>
        <v>2235.4153202846915</v>
      </c>
      <c r="R359" s="306">
        <f t="shared" ca="1" si="165"/>
        <v>1.3443209584979732</v>
      </c>
      <c r="S359" s="307">
        <f t="shared" ca="1" si="166"/>
        <v>19.433781330265727</v>
      </c>
      <c r="T359" s="304">
        <f t="shared" ca="1" si="146"/>
        <v>190.64539484990681</v>
      </c>
      <c r="U359" s="311">
        <f t="shared" ca="1" si="147"/>
        <v>0</v>
      </c>
      <c r="V359" s="306">
        <f t="shared" ca="1" si="148"/>
        <v>1.1738710535689374</v>
      </c>
      <c r="W359" s="304">
        <f t="shared" ca="1" si="149"/>
        <v>492.55520794387513</v>
      </c>
      <c r="Y359" s="314" t="str">
        <f t="shared" ca="1" si="167"/>
        <v/>
      </c>
      <c r="Z359" s="315" t="str">
        <f t="shared" ca="1" si="168"/>
        <v/>
      </c>
      <c r="AA359" s="316" t="str">
        <f t="shared" ca="1" si="169"/>
        <v/>
      </c>
      <c r="AC359" s="310" t="e">
        <f t="shared" ca="1" si="170"/>
        <v>#N/A</v>
      </c>
      <c r="AD359" s="323" t="e">
        <f t="shared" ca="1" si="171"/>
        <v>#N/A</v>
      </c>
      <c r="AE359" s="324">
        <f t="shared" ca="1" si="150"/>
        <v>426.27507097553433</v>
      </c>
      <c r="AG359" s="306">
        <f t="shared" ca="1" si="172"/>
        <v>80.642300210297293</v>
      </c>
      <c r="AH359" s="304">
        <f t="shared" ca="1" si="173"/>
        <v>89.827800498267592</v>
      </c>
    </row>
    <row r="360" spans="1:34" x14ac:dyDescent="0.2">
      <c r="A360" s="347">
        <f t="shared" ca="1" si="151"/>
        <v>0.01</v>
      </c>
      <c r="B360" s="304">
        <f t="shared" ca="1" si="152"/>
        <v>3.5599999999999681</v>
      </c>
      <c r="D360" s="306">
        <f t="shared" ca="1" si="153"/>
        <v>31.55461822275343</v>
      </c>
      <c r="E360" s="307">
        <f t="shared" ca="1" si="154"/>
        <v>74.311049982177394</v>
      </c>
      <c r="F360" s="304">
        <f t="shared" ca="1" si="155"/>
        <v>80.733054448827772</v>
      </c>
      <c r="G360" s="306">
        <f t="shared" ca="1" si="156"/>
        <v>94.542483480593447</v>
      </c>
      <c r="H360" s="307">
        <f t="shared" ca="1" si="157"/>
        <v>251.94148806180127</v>
      </c>
      <c r="I360" s="304">
        <f t="shared" ca="1" si="158"/>
        <v>269.09625524981396</v>
      </c>
      <c r="J360" s="306">
        <f t="shared" ca="1" si="159"/>
        <v>150.64654417667532</v>
      </c>
      <c r="K360" s="307">
        <f t="shared" ca="1" si="160"/>
        <v>428.79077030365323</v>
      </c>
      <c r="L360" s="304">
        <f t="shared" ca="1" si="145"/>
        <v>454.48421971502518</v>
      </c>
      <c r="M360" s="306">
        <f t="shared" ca="1" si="161"/>
        <v>1.2118014860467088</v>
      </c>
      <c r="N360" s="304">
        <f t="shared" ca="1" si="162"/>
        <v>69.431110758157729</v>
      </c>
      <c r="P360" s="310">
        <f t="shared" ca="1" si="163"/>
        <v>12</v>
      </c>
      <c r="Q360" s="304">
        <f t="shared" ca="1" si="164"/>
        <v>2237.3658896797092</v>
      </c>
      <c r="R360" s="306">
        <f t="shared" ca="1" si="165"/>
        <v>1.3454939804840589</v>
      </c>
      <c r="S360" s="307">
        <f t="shared" ca="1" si="166"/>
        <v>19.420326390460886</v>
      </c>
      <c r="T360" s="304">
        <f t="shared" ca="1" si="146"/>
        <v>190.51340189042131</v>
      </c>
      <c r="U360" s="311">
        <f t="shared" ca="1" si="147"/>
        <v>0</v>
      </c>
      <c r="V360" s="306">
        <f t="shared" ca="1" si="148"/>
        <v>1.1735756450758177</v>
      </c>
      <c r="W360" s="304">
        <f t="shared" ca="1" si="149"/>
        <v>495.39663750485022</v>
      </c>
      <c r="Y360" s="314" t="str">
        <f t="shared" ca="1" si="167"/>
        <v/>
      </c>
      <c r="Z360" s="315" t="str">
        <f t="shared" ca="1" si="168"/>
        <v/>
      </c>
      <c r="AA360" s="316" t="str">
        <f t="shared" ca="1" si="169"/>
        <v/>
      </c>
      <c r="AC360" s="310" t="e">
        <f t="shared" ca="1" si="170"/>
        <v>#N/A</v>
      </c>
      <c r="AD360" s="323" t="e">
        <f t="shared" ca="1" si="171"/>
        <v>#N/A</v>
      </c>
      <c r="AE360" s="324">
        <f t="shared" ca="1" si="150"/>
        <v>428.79077030365323</v>
      </c>
      <c r="AG360" s="306">
        <f t="shared" ca="1" si="172"/>
        <v>80.659502056910142</v>
      </c>
      <c r="AH360" s="304">
        <f t="shared" ca="1" si="173"/>
        <v>89.844560109601019</v>
      </c>
    </row>
    <row r="361" spans="1:34" x14ac:dyDescent="0.2">
      <c r="A361" s="347">
        <f t="shared" ca="1" si="151"/>
        <v>0.01</v>
      </c>
      <c r="B361" s="304">
        <f t="shared" ca="1" si="152"/>
        <v>3.5699999999999679</v>
      </c>
      <c r="D361" s="306">
        <f t="shared" ca="1" si="153"/>
        <v>31.571164382394453</v>
      </c>
      <c r="E361" s="307">
        <f t="shared" ca="1" si="154"/>
        <v>74.322401027702185</v>
      </c>
      <c r="F361" s="304">
        <f t="shared" ca="1" si="155"/>
        <v>80.749970371404828</v>
      </c>
      <c r="G361" s="306">
        <f t="shared" ca="1" si="156"/>
        <v>94.858195124417392</v>
      </c>
      <c r="H361" s="307">
        <f t="shared" ca="1" si="157"/>
        <v>252.6847120720783</v>
      </c>
      <c r="I361" s="304">
        <f t="shared" ca="1" si="158"/>
        <v>269.90302128211005</v>
      </c>
      <c r="J361" s="306">
        <f t="shared" ca="1" si="159"/>
        <v>151.59354756970038</v>
      </c>
      <c r="K361" s="307">
        <f t="shared" ca="1" si="160"/>
        <v>431.31390130432266</v>
      </c>
      <c r="L361" s="304">
        <f t="shared" ca="1" si="145"/>
        <v>457.17861402642399</v>
      </c>
      <c r="M361" s="306">
        <f t="shared" ca="1" si="161"/>
        <v>1.2116737890701614</v>
      </c>
      <c r="N361" s="304">
        <f t="shared" ca="1" si="162"/>
        <v>69.423794260344991</v>
      </c>
      <c r="P361" s="310">
        <f t="shared" ca="1" si="163"/>
        <v>12</v>
      </c>
      <c r="Q361" s="304">
        <f t="shared" ca="1" si="164"/>
        <v>2239.3164590747269</v>
      </c>
      <c r="R361" s="306">
        <f t="shared" ca="1" si="165"/>
        <v>1.3466670024701448</v>
      </c>
      <c r="S361" s="307">
        <f t="shared" ca="1" si="166"/>
        <v>19.406859720436184</v>
      </c>
      <c r="T361" s="304">
        <f t="shared" ca="1" si="146"/>
        <v>190.38129385747897</v>
      </c>
      <c r="U361" s="311">
        <f t="shared" ca="1" si="147"/>
        <v>0</v>
      </c>
      <c r="V361" s="306">
        <f t="shared" ca="1" si="148"/>
        <v>1.1732794369808919</v>
      </c>
      <c r="W361" s="304">
        <f t="shared" ca="1" si="149"/>
        <v>498.24575750029925</v>
      </c>
      <c r="Y361" s="314" t="str">
        <f t="shared" ca="1" si="167"/>
        <v/>
      </c>
      <c r="Z361" s="315" t="str">
        <f t="shared" ca="1" si="168"/>
        <v/>
      </c>
      <c r="AA361" s="316" t="str">
        <f t="shared" ca="1" si="169"/>
        <v/>
      </c>
      <c r="AC361" s="310" t="e">
        <f t="shared" ca="1" si="170"/>
        <v>#N/A</v>
      </c>
      <c r="AD361" s="323" t="e">
        <f t="shared" ca="1" si="171"/>
        <v>#N/A</v>
      </c>
      <c r="AE361" s="324">
        <f t="shared" ca="1" si="150"/>
        <v>431.31390130432266</v>
      </c>
      <c r="AG361" s="306">
        <f t="shared" ca="1" si="172"/>
        <v>80.676383170686549</v>
      </c>
      <c r="AH361" s="304">
        <f t="shared" ca="1" si="173"/>
        <v>89.861000011942195</v>
      </c>
    </row>
    <row r="362" spans="1:34" x14ac:dyDescent="0.2">
      <c r="A362" s="347">
        <f t="shared" ca="1" si="151"/>
        <v>0.01</v>
      </c>
      <c r="B362" s="304">
        <f t="shared" ca="1" si="152"/>
        <v>3.5799999999999677</v>
      </c>
      <c r="D362" s="306">
        <f t="shared" ca="1" si="153"/>
        <v>31.587573191090712</v>
      </c>
      <c r="E362" s="307">
        <f t="shared" ca="1" si="154"/>
        <v>74.33346094586291</v>
      </c>
      <c r="F362" s="304">
        <f t="shared" ca="1" si="155"/>
        <v>80.766566079613909</v>
      </c>
      <c r="G362" s="306">
        <f t="shared" ca="1" si="156"/>
        <v>95.174070856328299</v>
      </c>
      <c r="H362" s="307">
        <f t="shared" ca="1" si="157"/>
        <v>253.42804668153693</v>
      </c>
      <c r="I362" s="304">
        <f t="shared" ca="1" si="158"/>
        <v>270.709952916742</v>
      </c>
      <c r="J362" s="306">
        <f t="shared" ca="1" si="159"/>
        <v>152.5437088996041</v>
      </c>
      <c r="K362" s="307">
        <f t="shared" ca="1" si="160"/>
        <v>433.84446509809072</v>
      </c>
      <c r="L362" s="304">
        <f t="shared" ca="1" si="145"/>
        <v>459.88107486729177</v>
      </c>
      <c r="M362" s="306">
        <f t="shared" ca="1" si="161"/>
        <v>1.2115464294086351</v>
      </c>
      <c r="N362" s="304">
        <f t="shared" ca="1" si="162"/>
        <v>69.416497089259309</v>
      </c>
      <c r="P362" s="310">
        <f t="shared" ca="1" si="163"/>
        <v>12</v>
      </c>
      <c r="Q362" s="304">
        <f t="shared" ca="1" si="164"/>
        <v>2241.2670284697447</v>
      </c>
      <c r="R362" s="306">
        <f t="shared" ca="1" si="165"/>
        <v>1.3478400244562305</v>
      </c>
      <c r="S362" s="307">
        <f t="shared" ca="1" si="166"/>
        <v>19.393381320191622</v>
      </c>
      <c r="T362" s="304">
        <f t="shared" ca="1" si="146"/>
        <v>190.24907075107981</v>
      </c>
      <c r="U362" s="311">
        <f t="shared" ca="1" si="147"/>
        <v>0</v>
      </c>
      <c r="V362" s="306">
        <f t="shared" ca="1" si="148"/>
        <v>1.1729824297720466</v>
      </c>
      <c r="W362" s="304">
        <f t="shared" ca="1" si="149"/>
        <v>501.10254857219041</v>
      </c>
      <c r="Y362" s="314" t="str">
        <f t="shared" ca="1" si="167"/>
        <v/>
      </c>
      <c r="Z362" s="315" t="str">
        <f t="shared" ca="1" si="168"/>
        <v/>
      </c>
      <c r="AA362" s="316" t="str">
        <f t="shared" ca="1" si="169"/>
        <v/>
      </c>
      <c r="AC362" s="310" t="e">
        <f t="shared" ca="1" si="170"/>
        <v>#N/A</v>
      </c>
      <c r="AD362" s="323" t="e">
        <f t="shared" ca="1" si="171"/>
        <v>#N/A</v>
      </c>
      <c r="AE362" s="324">
        <f t="shared" ca="1" si="150"/>
        <v>433.84446509809072</v>
      </c>
      <c r="AG362" s="306">
        <f t="shared" ca="1" si="172"/>
        <v>80.69294391087773</v>
      </c>
      <c r="AH362" s="304">
        <f t="shared" ca="1" si="173"/>
        <v>89.87712055940861</v>
      </c>
    </row>
    <row r="363" spans="1:34" x14ac:dyDescent="0.2">
      <c r="A363" s="347">
        <f t="shared" ca="1" si="151"/>
        <v>0.01</v>
      </c>
      <c r="B363" s="304">
        <f t="shared" ca="1" si="152"/>
        <v>3.5899999999999674</v>
      </c>
      <c r="D363" s="306">
        <f t="shared" ca="1" si="153"/>
        <v>31.603844803500667</v>
      </c>
      <c r="E363" s="307">
        <f t="shared" ca="1" si="154"/>
        <v>74.344230076679153</v>
      </c>
      <c r="F363" s="304">
        <f t="shared" ca="1" si="155"/>
        <v>80.782841940958988</v>
      </c>
      <c r="G363" s="306">
        <f t="shared" ca="1" si="156"/>
        <v>95.490109304363301</v>
      </c>
      <c r="H363" s="307">
        <f t="shared" ca="1" si="157"/>
        <v>254.17148898230371</v>
      </c>
      <c r="I363" s="304">
        <f t="shared" ca="1" si="158"/>
        <v>271.51704695366845</v>
      </c>
      <c r="J363" s="306">
        <f t="shared" ca="1" si="159"/>
        <v>153.49702980040755</v>
      </c>
      <c r="K363" s="307">
        <f t="shared" ca="1" si="160"/>
        <v>436.38246277640991</v>
      </c>
      <c r="L363" s="304">
        <f t="shared" ca="1" si="145"/>
        <v>462.59160387576424</v>
      </c>
      <c r="M363" s="306">
        <f t="shared" ca="1" si="161"/>
        <v>1.211419405249311</v>
      </c>
      <c r="N363" s="304">
        <f t="shared" ca="1" si="162"/>
        <v>69.409219141033844</v>
      </c>
      <c r="P363" s="310">
        <f t="shared" ca="1" si="163"/>
        <v>12</v>
      </c>
      <c r="Q363" s="304">
        <f t="shared" ca="1" si="164"/>
        <v>2243.2175978647624</v>
      </c>
      <c r="R363" s="306">
        <f t="shared" ca="1" si="165"/>
        <v>1.3490130464423165</v>
      </c>
      <c r="S363" s="307">
        <f t="shared" ca="1" si="166"/>
        <v>19.3798911897272</v>
      </c>
      <c r="T363" s="304">
        <f t="shared" ca="1" si="146"/>
        <v>190.11673257122385</v>
      </c>
      <c r="U363" s="311">
        <f t="shared" ca="1" si="147"/>
        <v>0</v>
      </c>
      <c r="V363" s="306">
        <f t="shared" ca="1" si="148"/>
        <v>1.1726846239421496</v>
      </c>
      <c r="W363" s="304">
        <f t="shared" ca="1" si="149"/>
        <v>503.96699121042218</v>
      </c>
      <c r="Y363" s="314" t="str">
        <f t="shared" ca="1" si="167"/>
        <v/>
      </c>
      <c r="Z363" s="315" t="str">
        <f t="shared" ca="1" si="168"/>
        <v/>
      </c>
      <c r="AA363" s="316" t="str">
        <f t="shared" ca="1" si="169"/>
        <v/>
      </c>
      <c r="AC363" s="310" t="e">
        <f t="shared" ca="1" si="170"/>
        <v>#N/A</v>
      </c>
      <c r="AD363" s="323" t="e">
        <f t="shared" ca="1" si="171"/>
        <v>#N/A</v>
      </c>
      <c r="AE363" s="324">
        <f t="shared" ca="1" si="150"/>
        <v>436.38246277640991</v>
      </c>
      <c r="AG363" s="306">
        <f t="shared" ca="1" si="172"/>
        <v>80.709184644408055</v>
      </c>
      <c r="AH363" s="304">
        <f t="shared" ca="1" si="173"/>
        <v>89.892922113826103</v>
      </c>
    </row>
    <row r="364" spans="1:34" x14ac:dyDescent="0.2">
      <c r="A364" s="347">
        <f t="shared" ca="1" si="151"/>
        <v>0.01</v>
      </c>
      <c r="B364" s="304">
        <f t="shared" ca="1" si="152"/>
        <v>3.5999999999999672</v>
      </c>
      <c r="D364" s="306">
        <f t="shared" ca="1" si="153"/>
        <v>31.619979376714436</v>
      </c>
      <c r="E364" s="307">
        <f t="shared" ca="1" si="154"/>
        <v>74.354708767403281</v>
      </c>
      <c r="F364" s="304">
        <f t="shared" ca="1" si="155"/>
        <v>80.798798330601457</v>
      </c>
      <c r="G364" s="306">
        <f t="shared" ca="1" si="156"/>
        <v>95.806309098130441</v>
      </c>
      <c r="H364" s="307">
        <f t="shared" ca="1" si="157"/>
        <v>254.91503606997776</v>
      </c>
      <c r="I364" s="304">
        <f t="shared" ca="1" si="158"/>
        <v>272.32430019659387</v>
      </c>
      <c r="J364" s="306">
        <f t="shared" ca="1" si="159"/>
        <v>154.45351189242001</v>
      </c>
      <c r="K364" s="307">
        <f t="shared" ca="1" si="160"/>
        <v>438.92789540167132</v>
      </c>
      <c r="L364" s="304">
        <f t="shared" ca="1" si="145"/>
        <v>465.31020265801442</v>
      </c>
      <c r="M364" s="306">
        <f t="shared" ca="1" si="161"/>
        <v>1.2112927147927741</v>
      </c>
      <c r="N364" s="304">
        <f t="shared" ca="1" si="162"/>
        <v>69.401960312569699</v>
      </c>
      <c r="P364" s="310">
        <f t="shared" ca="1" si="163"/>
        <v>12</v>
      </c>
      <c r="Q364" s="304">
        <f t="shared" ca="1" si="164"/>
        <v>2245.1681672597801</v>
      </c>
      <c r="R364" s="306">
        <f t="shared" ca="1" si="165"/>
        <v>1.3501860684284024</v>
      </c>
      <c r="S364" s="307">
        <f t="shared" ca="1" si="166"/>
        <v>19.366389329042917</v>
      </c>
      <c r="T364" s="304">
        <f t="shared" ca="1" si="146"/>
        <v>189.98427931791102</v>
      </c>
      <c r="U364" s="311">
        <f t="shared" ca="1" si="147"/>
        <v>0</v>
      </c>
      <c r="V364" s="306">
        <f t="shared" ca="1" si="148"/>
        <v>1.1723860199890415</v>
      </c>
      <c r="W364" s="304">
        <f t="shared" ca="1" si="149"/>
        <v>506.83906575354325</v>
      </c>
      <c r="Y364" s="314" t="str">
        <f t="shared" ca="1" si="167"/>
        <v/>
      </c>
      <c r="Z364" s="315" t="str">
        <f t="shared" ca="1" si="168"/>
        <v/>
      </c>
      <c r="AA364" s="316" t="str">
        <f t="shared" ca="1" si="169"/>
        <v/>
      </c>
      <c r="AC364" s="310" t="e">
        <f t="shared" ca="1" si="170"/>
        <v>#N/A</v>
      </c>
      <c r="AD364" s="323" t="e">
        <f t="shared" ca="1" si="171"/>
        <v>#N/A</v>
      </c>
      <c r="AE364" s="324">
        <f t="shared" ca="1" si="150"/>
        <v>438.92789540167132</v>
      </c>
      <c r="AG364" s="306">
        <f t="shared" ca="1" si="172"/>
        <v>80.725105745867737</v>
      </c>
      <c r="AH364" s="304">
        <f t="shared" ca="1" si="173"/>
        <v>89.908405044721249</v>
      </c>
    </row>
    <row r="365" spans="1:34" x14ac:dyDescent="0.2">
      <c r="A365" s="347">
        <f t="shared" ca="1" si="151"/>
        <v>0.01</v>
      </c>
      <c r="B365" s="304">
        <f t="shared" ca="1" si="152"/>
        <v>3.609999999999967</v>
      </c>
      <c r="D365" s="306">
        <f t="shared" ca="1" si="153"/>
        <v>31.635977070259329</v>
      </c>
      <c r="E365" s="307">
        <f t="shared" ca="1" si="154"/>
        <v>74.364897372510484</v>
      </c>
      <c r="F365" s="304">
        <f t="shared" ca="1" si="155"/>
        <v>80.814435631352339</v>
      </c>
      <c r="G365" s="306">
        <f t="shared" ca="1" si="156"/>
        <v>96.122668868833031</v>
      </c>
      <c r="H365" s="307">
        <f t="shared" ca="1" si="157"/>
        <v>255.65868504370286</v>
      </c>
      <c r="I365" s="304">
        <f t="shared" ca="1" si="158"/>
        <v>273.131709453045</v>
      </c>
      <c r="J365" s="306">
        <f t="shared" ca="1" si="159"/>
        <v>155.41315678225482</v>
      </c>
      <c r="K365" s="307">
        <f t="shared" ca="1" si="160"/>
        <v>441.48076400723971</v>
      </c>
      <c r="L365" s="304">
        <f t="shared" ca="1" si="145"/>
        <v>468.03687278828983</v>
      </c>
      <c r="M365" s="306">
        <f t="shared" ca="1" si="161"/>
        <v>1.2111663562528829</v>
      </c>
      <c r="N365" s="304">
        <f t="shared" ca="1" si="162"/>
        <v>69.394720501528496</v>
      </c>
      <c r="P365" s="310">
        <f t="shared" ca="1" si="163"/>
        <v>12</v>
      </c>
      <c r="Q365" s="304">
        <f t="shared" ca="1" si="164"/>
        <v>2247.1187366547979</v>
      </c>
      <c r="R365" s="306">
        <f t="shared" ca="1" si="165"/>
        <v>1.3513590904144881</v>
      </c>
      <c r="S365" s="307">
        <f t="shared" ca="1" si="166"/>
        <v>19.352875738138771</v>
      </c>
      <c r="T365" s="304">
        <f t="shared" ca="1" si="146"/>
        <v>189.85171099114135</v>
      </c>
      <c r="U365" s="311">
        <f t="shared" ca="1" si="147"/>
        <v>0</v>
      </c>
      <c r="V365" s="306">
        <f t="shared" ca="1" si="148"/>
        <v>1.1720866184155194</v>
      </c>
      <c r="W365" s="304">
        <f t="shared" ca="1" si="149"/>
        <v>509.71875238947649</v>
      </c>
      <c r="Y365" s="314" t="str">
        <f t="shared" ca="1" si="167"/>
        <v/>
      </c>
      <c r="Z365" s="315" t="str">
        <f t="shared" ca="1" si="168"/>
        <v/>
      </c>
      <c r="AA365" s="316" t="str">
        <f t="shared" ca="1" si="169"/>
        <v/>
      </c>
      <c r="AC365" s="310" t="e">
        <f t="shared" ca="1" si="170"/>
        <v>#N/A</v>
      </c>
      <c r="AD365" s="323" t="e">
        <f t="shared" ca="1" si="171"/>
        <v>#N/A</v>
      </c>
      <c r="AE365" s="324">
        <f t="shared" ca="1" si="150"/>
        <v>441.48076400723971</v>
      </c>
      <c r="AG365" s="306">
        <f t="shared" ca="1" si="172"/>
        <v>80.740707597504922</v>
      </c>
      <c r="AH365" s="304">
        <f t="shared" ca="1" si="173"/>
        <v>89.923569729313158</v>
      </c>
    </row>
    <row r="366" spans="1:34" x14ac:dyDescent="0.2">
      <c r="A366" s="347">
        <f t="shared" ca="1" si="151"/>
        <v>0.01</v>
      </c>
      <c r="B366" s="304">
        <f t="shared" ca="1" si="152"/>
        <v>3.6199999999999668</v>
      </c>
      <c r="D366" s="306">
        <f t="shared" ca="1" si="153"/>
        <v>31.651838046105151</v>
      </c>
      <c r="E366" s="307">
        <f t="shared" ca="1" si="154"/>
        <v>74.374796253688658</v>
      </c>
      <c r="F366" s="304">
        <f t="shared" ca="1" si="155"/>
        <v>80.829754233664289</v>
      </c>
      <c r="G366" s="306">
        <f t="shared" ca="1" si="156"/>
        <v>96.439187249294079</v>
      </c>
      <c r="H366" s="307">
        <f t="shared" ca="1" si="157"/>
        <v>256.40243300623973</v>
      </c>
      <c r="I366" s="304">
        <f t="shared" ca="1" si="158"/>
        <v>273.9392715344473</v>
      </c>
      <c r="J366" s="306">
        <f t="shared" ca="1" si="159"/>
        <v>156.37596606284546</v>
      </c>
      <c r="K366" s="307">
        <f t="shared" ca="1" si="160"/>
        <v>444.04106959748941</v>
      </c>
      <c r="L366" s="304">
        <f t="shared" ca="1" si="145"/>
        <v>470.77161580895108</v>
      </c>
      <c r="M366" s="306">
        <f t="shared" ca="1" si="161"/>
        <v>1.2110403278566415</v>
      </c>
      <c r="N366" s="304">
        <f t="shared" ca="1" si="162"/>
        <v>69.387499606325065</v>
      </c>
      <c r="P366" s="310">
        <f t="shared" ca="1" si="163"/>
        <v>12</v>
      </c>
      <c r="Q366" s="304">
        <f t="shared" ca="1" si="164"/>
        <v>2249.0693060498156</v>
      </c>
      <c r="R366" s="306">
        <f t="shared" ca="1" si="165"/>
        <v>1.352532112400574</v>
      </c>
      <c r="S366" s="307">
        <f t="shared" ca="1" si="166"/>
        <v>19.339350417014764</v>
      </c>
      <c r="T366" s="304">
        <f t="shared" ca="1" si="146"/>
        <v>189.71902759091483</v>
      </c>
      <c r="U366" s="311">
        <f t="shared" ca="1" si="147"/>
        <v>0</v>
      </c>
      <c r="V366" s="306">
        <f t="shared" ca="1" si="148"/>
        <v>1.1717864197293326</v>
      </c>
      <c r="W366" s="304">
        <f t="shared" ca="1" si="149"/>
        <v>512.60603115625304</v>
      </c>
      <c r="Y366" s="314" t="str">
        <f t="shared" ca="1" si="167"/>
        <v/>
      </c>
      <c r="Z366" s="315" t="str">
        <f t="shared" ca="1" si="168"/>
        <v/>
      </c>
      <c r="AA366" s="316" t="str">
        <f t="shared" ca="1" si="169"/>
        <v/>
      </c>
      <c r="AC366" s="310" t="e">
        <f t="shared" ca="1" si="170"/>
        <v>#N/A</v>
      </c>
      <c r="AD366" s="323" t="e">
        <f t="shared" ca="1" si="171"/>
        <v>#N/A</v>
      </c>
      <c r="AE366" s="324">
        <f t="shared" ca="1" si="150"/>
        <v>444.04106959748941</v>
      </c>
      <c r="AG366" s="306">
        <f t="shared" ca="1" si="172"/>
        <v>80.755990589217745</v>
      </c>
      <c r="AH366" s="304">
        <f t="shared" ca="1" si="173"/>
        <v>89.938416552505203</v>
      </c>
    </row>
    <row r="367" spans="1:34" x14ac:dyDescent="0.2">
      <c r="A367" s="347">
        <f t="shared" ca="1" si="151"/>
        <v>0.01</v>
      </c>
      <c r="B367" s="304">
        <f t="shared" ca="1" si="152"/>
        <v>3.6299999999999666</v>
      </c>
      <c r="D367" s="306">
        <f t="shared" ca="1" si="153"/>
        <v>31.667562468669264</v>
      </c>
      <c r="E367" s="307">
        <f t="shared" ca="1" si="154"/>
        <v>74.384405779828001</v>
      </c>
      <c r="F367" s="304">
        <f t="shared" ca="1" si="155"/>
        <v>80.844754535623281</v>
      </c>
      <c r="G367" s="306">
        <f t="shared" ca="1" si="156"/>
        <v>96.755862873980774</v>
      </c>
      <c r="H367" s="307">
        <f t="shared" ca="1" si="157"/>
        <v>257.14627706403803</v>
      </c>
      <c r="I367" s="304">
        <f t="shared" ca="1" si="158"/>
        <v>274.7469832562017</v>
      </c>
      <c r="J367" s="306">
        <f t="shared" ca="1" si="159"/>
        <v>157.34194131346183</v>
      </c>
      <c r="K367" s="307">
        <f t="shared" ca="1" si="160"/>
        <v>446.60881314784081</v>
      </c>
      <c r="L367" s="304">
        <f t="shared" ca="1" si="145"/>
        <v>473.5144332305108</v>
      </c>
      <c r="M367" s="306">
        <f t="shared" ca="1" si="161"/>
        <v>1.210914627844073</v>
      </c>
      <c r="N367" s="304">
        <f t="shared" ca="1" si="162"/>
        <v>69.380297526120145</v>
      </c>
      <c r="P367" s="310">
        <f t="shared" ca="1" si="163"/>
        <v>12</v>
      </c>
      <c r="Q367" s="304">
        <f t="shared" ca="1" si="164"/>
        <v>2251.0198754448334</v>
      </c>
      <c r="R367" s="306">
        <f t="shared" ca="1" si="165"/>
        <v>1.3537051343866597</v>
      </c>
      <c r="S367" s="307">
        <f t="shared" ca="1" si="166"/>
        <v>19.325813365670896</v>
      </c>
      <c r="T367" s="304">
        <f t="shared" ca="1" si="146"/>
        <v>189.58622911723151</v>
      </c>
      <c r="U367" s="311">
        <f t="shared" ca="1" si="147"/>
        <v>0</v>
      </c>
      <c r="V367" s="306">
        <f t="shared" ca="1" si="148"/>
        <v>1.1714854244431672</v>
      </c>
      <c r="W367" s="304">
        <f t="shared" ca="1" si="149"/>
        <v>515.50088194275406</v>
      </c>
      <c r="Y367" s="314" t="str">
        <f t="shared" ca="1" si="167"/>
        <v/>
      </c>
      <c r="Z367" s="315" t="str">
        <f t="shared" ca="1" si="168"/>
        <v/>
      </c>
      <c r="AA367" s="316" t="str">
        <f t="shared" ca="1" si="169"/>
        <v/>
      </c>
      <c r="AC367" s="310" t="e">
        <f t="shared" ca="1" si="170"/>
        <v>#N/A</v>
      </c>
      <c r="AD367" s="323" t="e">
        <f t="shared" ca="1" si="171"/>
        <v>#N/A</v>
      </c>
      <c r="AE367" s="324">
        <f t="shared" ca="1" si="150"/>
        <v>446.60881314784081</v>
      </c>
      <c r="AG367" s="306">
        <f t="shared" ca="1" si="172"/>
        <v>80.770955118545942</v>
      </c>
      <c r="AH367" s="304">
        <f t="shared" ca="1" si="173"/>
        <v>89.952945906876252</v>
      </c>
    </row>
    <row r="368" spans="1:34" x14ac:dyDescent="0.2">
      <c r="A368" s="347">
        <f t="shared" ca="1" si="151"/>
        <v>0.01</v>
      </c>
      <c r="B368" s="304">
        <f t="shared" ca="1" si="152"/>
        <v>3.6399999999999664</v>
      </c>
      <c r="D368" s="306">
        <f t="shared" ca="1" si="153"/>
        <v>31.683150504821306</v>
      </c>
      <c r="E368" s="307">
        <f t="shared" ca="1" si="154"/>
        <v>74.393726327010143</v>
      </c>
      <c r="F368" s="304">
        <f t="shared" ca="1" si="155"/>
        <v>80.859436942939695</v>
      </c>
      <c r="G368" s="306">
        <f t="shared" ca="1" si="156"/>
        <v>97.072694379028988</v>
      </c>
      <c r="H368" s="307">
        <f t="shared" ca="1" si="157"/>
        <v>257.89021432730812</v>
      </c>
      <c r="I368" s="304">
        <f t="shared" ca="1" si="158"/>
        <v>275.55484143776044</v>
      </c>
      <c r="J368" s="306">
        <f t="shared" ca="1" si="159"/>
        <v>158.31108409972688</v>
      </c>
      <c r="K368" s="307">
        <f t="shared" ca="1" si="160"/>
        <v>449.18399560479753</v>
      </c>
      <c r="L368" s="304">
        <f t="shared" ca="1" si="145"/>
        <v>476.26532653167345</v>
      </c>
      <c r="M368" s="306">
        <f t="shared" ca="1" si="161"/>
        <v>1.2107892544680927</v>
      </c>
      <c r="N368" s="304">
        <f t="shared" ca="1" si="162"/>
        <v>69.373114160813159</v>
      </c>
      <c r="P368" s="310">
        <f t="shared" ca="1" si="163"/>
        <v>12</v>
      </c>
      <c r="Q368" s="304">
        <f t="shared" ca="1" si="164"/>
        <v>2252.9704448398511</v>
      </c>
      <c r="R368" s="306">
        <f t="shared" ca="1" si="165"/>
        <v>1.3548781563727457</v>
      </c>
      <c r="S368" s="307">
        <f t="shared" ca="1" si="166"/>
        <v>19.312264584107169</v>
      </c>
      <c r="T368" s="304">
        <f t="shared" ca="1" si="146"/>
        <v>189.45331557009135</v>
      </c>
      <c r="U368" s="311">
        <f t="shared" ca="1" si="147"/>
        <v>0</v>
      </c>
      <c r="V368" s="306">
        <f t="shared" ca="1" si="148"/>
        <v>1.1711836330746357</v>
      </c>
      <c r="W368" s="304">
        <f t="shared" ca="1" si="149"/>
        <v>518.4032844894549</v>
      </c>
      <c r="Y368" s="314" t="str">
        <f t="shared" ca="1" si="167"/>
        <v/>
      </c>
      <c r="Z368" s="315" t="str">
        <f t="shared" ca="1" si="168"/>
        <v/>
      </c>
      <c r="AA368" s="316" t="str">
        <f t="shared" ca="1" si="169"/>
        <v/>
      </c>
      <c r="AC368" s="310" t="e">
        <f t="shared" ca="1" si="170"/>
        <v>#N/A</v>
      </c>
      <c r="AD368" s="323" t="e">
        <f t="shared" ca="1" si="171"/>
        <v>#N/A</v>
      </c>
      <c r="AE368" s="324">
        <f t="shared" ca="1" si="150"/>
        <v>449.18399560479753</v>
      </c>
      <c r="AG368" s="306">
        <f t="shared" ca="1" si="172"/>
        <v>80.785601590661855</v>
      </c>
      <c r="AH368" s="304">
        <f t="shared" ca="1" si="173"/>
        <v>89.967158192671505</v>
      </c>
    </row>
    <row r="369" spans="1:34" x14ac:dyDescent="0.2">
      <c r="A369" s="347">
        <f t="shared" ca="1" si="151"/>
        <v>0.01</v>
      </c>
      <c r="B369" s="304">
        <f t="shared" ca="1" si="152"/>
        <v>3.6499999999999662</v>
      </c>
      <c r="D369" s="306">
        <f t="shared" ca="1" si="153"/>
        <v>31.698602323888071</v>
      </c>
      <c r="E369" s="307">
        <f t="shared" ca="1" si="154"/>
        <v>74.402758278497231</v>
      </c>
      <c r="F369" s="304">
        <f t="shared" ca="1" si="155"/>
        <v>80.873801868939552</v>
      </c>
      <c r="G369" s="306">
        <f t="shared" ca="1" si="156"/>
        <v>97.389680402267871</v>
      </c>
      <c r="H369" s="307">
        <f t="shared" ca="1" si="157"/>
        <v>258.63424191009307</v>
      </c>
      <c r="I369" s="304">
        <f t="shared" ca="1" si="158"/>
        <v>276.36284290270362</v>
      </c>
      <c r="J369" s="306">
        <f t="shared" ca="1" si="159"/>
        <v>159.28339597363336</v>
      </c>
      <c r="K369" s="307">
        <f t="shared" ca="1" si="160"/>
        <v>451.76661788598454</v>
      </c>
      <c r="L369" s="304">
        <f t="shared" ca="1" si="145"/>
        <v>479.02429715937632</v>
      </c>
      <c r="M369" s="306">
        <f t="shared" ca="1" si="161"/>
        <v>1.2106642059943857</v>
      </c>
      <c r="N369" s="304">
        <f t="shared" ca="1" si="162"/>
        <v>69.365949411035203</v>
      </c>
      <c r="P369" s="310">
        <f t="shared" ca="1" si="163"/>
        <v>12</v>
      </c>
      <c r="Q369" s="304">
        <f t="shared" ca="1" si="164"/>
        <v>2254.9210142348688</v>
      </c>
      <c r="R369" s="306">
        <f t="shared" ca="1" si="165"/>
        <v>1.3560511783588314</v>
      </c>
      <c r="S369" s="307">
        <f t="shared" ca="1" si="166"/>
        <v>19.298704072323581</v>
      </c>
      <c r="T369" s="304">
        <f t="shared" ca="1" si="146"/>
        <v>189.32028694949435</v>
      </c>
      <c r="U369" s="311">
        <f t="shared" ca="1" si="147"/>
        <v>0</v>
      </c>
      <c r="V369" s="306">
        <f t="shared" ca="1" si="148"/>
        <v>1.1708810461462684</v>
      </c>
      <c r="W369" s="304">
        <f t="shared" ca="1" si="149"/>
        <v>521.31321838918302</v>
      </c>
      <c r="Y369" s="314" t="str">
        <f t="shared" ca="1" si="167"/>
        <v/>
      </c>
      <c r="Z369" s="315" t="str">
        <f t="shared" ca="1" si="168"/>
        <v/>
      </c>
      <c r="AA369" s="316" t="str">
        <f t="shared" ca="1" si="169"/>
        <v/>
      </c>
      <c r="AC369" s="310" t="e">
        <f t="shared" ca="1" si="170"/>
        <v>#N/A</v>
      </c>
      <c r="AD369" s="323" t="e">
        <f t="shared" ca="1" si="171"/>
        <v>#N/A</v>
      </c>
      <c r="AE369" s="324">
        <f t="shared" ca="1" si="150"/>
        <v>451.76661788598454</v>
      </c>
      <c r="AG369" s="306">
        <f t="shared" ca="1" si="172"/>
        <v>80.799930418361626</v>
      </c>
      <c r="AH369" s="304">
        <f t="shared" ca="1" si="173"/>
        <v>89.981053817793253</v>
      </c>
    </row>
    <row r="370" spans="1:34" x14ac:dyDescent="0.2">
      <c r="A370" s="347">
        <f t="shared" ca="1" si="151"/>
        <v>0.01</v>
      </c>
      <c r="B370" s="304">
        <f t="shared" ca="1" si="152"/>
        <v>3.6599999999999659</v>
      </c>
      <c r="D370" s="306">
        <f t="shared" ca="1" si="153"/>
        <v>31.713918097657725</v>
      </c>
      <c r="E370" s="307">
        <f t="shared" ca="1" si="154"/>
        <v>74.411502024720505</v>
      </c>
      <c r="F370" s="304">
        <f t="shared" ca="1" si="155"/>
        <v>80.887849734554848</v>
      </c>
      <c r="G370" s="306">
        <f t="shared" ca="1" si="156"/>
        <v>97.706819583244453</v>
      </c>
      <c r="H370" s="307">
        <f t="shared" ca="1" si="157"/>
        <v>259.37835693034026</v>
      </c>
      <c r="I370" s="304">
        <f t="shared" ca="1" si="158"/>
        <v>277.17098447881529</v>
      </c>
      <c r="J370" s="306">
        <f t="shared" ca="1" si="159"/>
        <v>160.25887847356091</v>
      </c>
      <c r="K370" s="307">
        <f t="shared" ca="1" si="160"/>
        <v>454.35668088018673</v>
      </c>
      <c r="L370" s="304">
        <f t="shared" ca="1" si="145"/>
        <v>481.79134652883027</v>
      </c>
      <c r="M370" s="306">
        <f t="shared" ca="1" si="161"/>
        <v>1.2105394807012844</v>
      </c>
      <c r="N370" s="304">
        <f t="shared" ca="1" si="162"/>
        <v>69.358803178141969</v>
      </c>
      <c r="P370" s="310">
        <f t="shared" ca="1" si="163"/>
        <v>12</v>
      </c>
      <c r="Q370" s="304">
        <f t="shared" ca="1" si="164"/>
        <v>2256.8715836298866</v>
      </c>
      <c r="R370" s="306">
        <f t="shared" ca="1" si="165"/>
        <v>1.3572242003449173</v>
      </c>
      <c r="S370" s="307">
        <f t="shared" ca="1" si="166"/>
        <v>19.285131830320132</v>
      </c>
      <c r="T370" s="304">
        <f t="shared" ca="1" si="146"/>
        <v>189.1871432554405</v>
      </c>
      <c r="U370" s="311">
        <f t="shared" ca="1" si="147"/>
        <v>0</v>
      </c>
      <c r="V370" s="306">
        <f t="shared" ca="1" si="148"/>
        <v>1.1705776641854981</v>
      </c>
      <c r="W370" s="304">
        <f t="shared" ca="1" si="149"/>
        <v>524.23066308787782</v>
      </c>
      <c r="Y370" s="314" t="str">
        <f t="shared" ca="1" si="167"/>
        <v/>
      </c>
      <c r="Z370" s="315" t="str">
        <f t="shared" ca="1" si="168"/>
        <v/>
      </c>
      <c r="AA370" s="316" t="str">
        <f t="shared" ca="1" si="169"/>
        <v/>
      </c>
      <c r="AC370" s="310" t="e">
        <f t="shared" ca="1" si="170"/>
        <v>#N/A</v>
      </c>
      <c r="AD370" s="323" t="e">
        <f t="shared" ca="1" si="171"/>
        <v>#N/A</v>
      </c>
      <c r="AE370" s="324">
        <f t="shared" ca="1" si="150"/>
        <v>454.35668088018673</v>
      </c>
      <c r="AG370" s="306">
        <f t="shared" ca="1" si="172"/>
        <v>80.813942022055528</v>
      </c>
      <c r="AH370" s="304">
        <f t="shared" ca="1" si="173"/>
        <v>89.994633197790975</v>
      </c>
    </row>
    <row r="371" spans="1:34" x14ac:dyDescent="0.2">
      <c r="A371" s="347">
        <f t="shared" ca="1" si="151"/>
        <v>0.01</v>
      </c>
      <c r="B371" s="304">
        <f t="shared" ca="1" si="152"/>
        <v>3.6699999999999657</v>
      </c>
      <c r="D371" s="306">
        <f t="shared" ca="1" si="153"/>
        <v>31.729098000384059</v>
      </c>
      <c r="E371" s="307">
        <f t="shared" ca="1" si="154"/>
        <v>74.4199579632687</v>
      </c>
      <c r="F371" s="304">
        <f t="shared" ca="1" si="155"/>
        <v>80.901580968313937</v>
      </c>
      <c r="G371" s="306">
        <f t="shared" ca="1" si="156"/>
        <v>98.0241105632483</v>
      </c>
      <c r="H371" s="307">
        <f t="shared" ca="1" si="157"/>
        <v>260.12255650997292</v>
      </c>
      <c r="I371" s="304">
        <f t="shared" ca="1" si="158"/>
        <v>277.97926299815958</v>
      </c>
      <c r="J371" s="306">
        <f t="shared" ca="1" si="159"/>
        <v>161.23753312429338</v>
      </c>
      <c r="K371" s="307">
        <f t="shared" ca="1" si="160"/>
        <v>456.95418544738828</v>
      </c>
      <c r="L371" s="304">
        <f t="shared" ca="1" si="145"/>
        <v>484.56647602356247</v>
      </c>
      <c r="M371" s="306">
        <f t="shared" ca="1" si="161"/>
        <v>1.2104150768796471</v>
      </c>
      <c r="N371" s="304">
        <f t="shared" ca="1" si="162"/>
        <v>69.351675364206855</v>
      </c>
      <c r="P371" s="310">
        <f t="shared" ca="1" si="163"/>
        <v>12</v>
      </c>
      <c r="Q371" s="304">
        <f t="shared" ca="1" si="164"/>
        <v>2258.8221530249043</v>
      </c>
      <c r="R371" s="306">
        <f t="shared" ca="1" si="165"/>
        <v>1.3583972223310032</v>
      </c>
      <c r="S371" s="307">
        <f t="shared" ca="1" si="166"/>
        <v>19.271547858096824</v>
      </c>
      <c r="T371" s="304">
        <f t="shared" ca="1" si="146"/>
        <v>189.05388448792985</v>
      </c>
      <c r="U371" s="311">
        <f t="shared" ca="1" si="147"/>
        <v>0</v>
      </c>
      <c r="V371" s="306">
        <f t="shared" ca="1" si="148"/>
        <v>1.1702734877246528</v>
      </c>
      <c r="W371" s="304">
        <f t="shared" ca="1" si="149"/>
        <v>527.15559788536075</v>
      </c>
      <c r="Y371" s="314" t="str">
        <f t="shared" ca="1" si="167"/>
        <v/>
      </c>
      <c r="Z371" s="315" t="str">
        <f t="shared" ca="1" si="168"/>
        <v/>
      </c>
      <c r="AA371" s="316" t="str">
        <f t="shared" ca="1" si="169"/>
        <v/>
      </c>
      <c r="AC371" s="310" t="e">
        <f t="shared" ca="1" si="170"/>
        <v>#N/A</v>
      </c>
      <c r="AD371" s="323" t="e">
        <f t="shared" ca="1" si="171"/>
        <v>#N/A</v>
      </c>
      <c r="AE371" s="324">
        <f t="shared" ca="1" si="150"/>
        <v>456.95418544738828</v>
      </c>
      <c r="AG371" s="306">
        <f t="shared" ca="1" si="172"/>
        <v>80.82763682975822</v>
      </c>
      <c r="AH371" s="304">
        <f t="shared" ca="1" si="173"/>
        <v>90.007896755851306</v>
      </c>
    </row>
    <row r="372" spans="1:34" x14ac:dyDescent="0.2">
      <c r="A372" s="347">
        <f t="shared" ca="1" si="151"/>
        <v>0.01</v>
      </c>
      <c r="B372" s="304">
        <f t="shared" ca="1" si="152"/>
        <v>3.6799999999999655</v>
      </c>
      <c r="D372" s="306">
        <f t="shared" ca="1" si="153"/>
        <v>31.744142208790535</v>
      </c>
      <c r="E372" s="307">
        <f t="shared" ca="1" si="154"/>
        <v>74.428126498876182</v>
      </c>
      <c r="F372" s="304">
        <f t="shared" ca="1" si="155"/>
        <v>80.914996006331435</v>
      </c>
      <c r="G372" s="306">
        <f t="shared" ca="1" si="156"/>
        <v>98.34155198533621</v>
      </c>
      <c r="H372" s="307">
        <f t="shared" ca="1" si="157"/>
        <v>260.86683777496171</v>
      </c>
      <c r="I372" s="304">
        <f t="shared" ca="1" si="158"/>
        <v>278.78767529715651</v>
      </c>
      <c r="J372" s="306">
        <f t="shared" ca="1" si="159"/>
        <v>162.2193614370363</v>
      </c>
      <c r="K372" s="307">
        <f t="shared" ca="1" si="160"/>
        <v>459.55913241881296</v>
      </c>
      <c r="L372" s="304">
        <f t="shared" ca="1" si="145"/>
        <v>487.34968699545902</v>
      </c>
      <c r="M372" s="306">
        <f t="shared" ca="1" si="161"/>
        <v>1.2102909928327388</v>
      </c>
      <c r="N372" s="304">
        <f t="shared" ca="1" si="162"/>
        <v>69.344565872014101</v>
      </c>
      <c r="P372" s="310">
        <f t="shared" ca="1" si="163"/>
        <v>12</v>
      </c>
      <c r="Q372" s="304">
        <f t="shared" ca="1" si="164"/>
        <v>2260.772722419922</v>
      </c>
      <c r="R372" s="306">
        <f t="shared" ca="1" si="165"/>
        <v>1.3595702443170889</v>
      </c>
      <c r="S372" s="307">
        <f t="shared" ca="1" si="166"/>
        <v>19.257952155653651</v>
      </c>
      <c r="T372" s="304">
        <f t="shared" ca="1" si="146"/>
        <v>188.92051064696233</v>
      </c>
      <c r="U372" s="311">
        <f t="shared" ca="1" si="147"/>
        <v>0</v>
      </c>
      <c r="V372" s="306">
        <f t="shared" ca="1" si="148"/>
        <v>1.1699685173009406</v>
      </c>
      <c r="W372" s="304">
        <f t="shared" ca="1" si="149"/>
        <v>530.08800193610978</v>
      </c>
      <c r="Y372" s="314" t="str">
        <f t="shared" ca="1" si="167"/>
        <v/>
      </c>
      <c r="Z372" s="315" t="str">
        <f t="shared" ca="1" si="168"/>
        <v/>
      </c>
      <c r="AA372" s="316" t="str">
        <f t="shared" ca="1" si="169"/>
        <v/>
      </c>
      <c r="AC372" s="310" t="e">
        <f t="shared" ca="1" si="170"/>
        <v>#N/A</v>
      </c>
      <c r="AD372" s="323" t="e">
        <f t="shared" ca="1" si="171"/>
        <v>#N/A</v>
      </c>
      <c r="AE372" s="324">
        <f t="shared" ca="1" si="150"/>
        <v>459.55913241881296</v>
      </c>
      <c r="AG372" s="306">
        <f t="shared" ca="1" si="172"/>
        <v>80.841015277078682</v>
      </c>
      <c r="AH372" s="304">
        <f t="shared" ca="1" si="173"/>
        <v>90.020844922787646</v>
      </c>
    </row>
    <row r="373" spans="1:34" x14ac:dyDescent="0.2">
      <c r="A373" s="347">
        <f t="shared" ca="1" si="151"/>
        <v>0.01</v>
      </c>
      <c r="B373" s="304">
        <f t="shared" ca="1" si="152"/>
        <v>3.6899999999999653</v>
      </c>
      <c r="D373" s="306">
        <f t="shared" ca="1" si="153"/>
        <v>31.759050902074069</v>
      </c>
      <c r="E373" s="307">
        <f t="shared" ca="1" si="154"/>
        <v>74.436008043410524</v>
      </c>
      <c r="F373" s="304">
        <f t="shared" ca="1" si="155"/>
        <v>80.928095292297641</v>
      </c>
      <c r="G373" s="306">
        <f t="shared" ca="1" si="156"/>
        <v>98.659142494356956</v>
      </c>
      <c r="H373" s="307">
        <f t="shared" ca="1" si="157"/>
        <v>261.6111978553958</v>
      </c>
      <c r="I373" s="304">
        <f t="shared" ca="1" si="158"/>
        <v>279.59621821665775</v>
      </c>
      <c r="J373" s="306">
        <f t="shared" ca="1" si="159"/>
        <v>163.20436490943476</v>
      </c>
      <c r="K373" s="307">
        <f t="shared" ca="1" si="160"/>
        <v>462.17152259696473</v>
      </c>
      <c r="L373" s="304">
        <f t="shared" ca="1" si="145"/>
        <v>490.14098076480877</v>
      </c>
      <c r="M373" s="306">
        <f t="shared" ca="1" si="161"/>
        <v>1.2101672268761134</v>
      </c>
      <c r="N373" s="304">
        <f t="shared" ca="1" si="162"/>
        <v>69.337474605052066</v>
      </c>
      <c r="P373" s="310">
        <f t="shared" ca="1" si="163"/>
        <v>12</v>
      </c>
      <c r="Q373" s="304">
        <f t="shared" ca="1" si="164"/>
        <v>2262.7232918149398</v>
      </c>
      <c r="R373" s="306">
        <f t="shared" ca="1" si="165"/>
        <v>1.3607432663031749</v>
      </c>
      <c r="S373" s="307">
        <f t="shared" ca="1" si="166"/>
        <v>19.244344722990618</v>
      </c>
      <c r="T373" s="304">
        <f t="shared" ca="1" si="146"/>
        <v>188.78702173253797</v>
      </c>
      <c r="U373" s="311">
        <f t="shared" ca="1" si="147"/>
        <v>0</v>
      </c>
      <c r="V373" s="306">
        <f t="shared" ca="1" si="148"/>
        <v>1.1696627534564401</v>
      </c>
      <c r="W373" s="304">
        <f t="shared" ca="1" si="149"/>
        <v>533.02785425004186</v>
      </c>
      <c r="Y373" s="314" t="str">
        <f t="shared" ca="1" si="167"/>
        <v/>
      </c>
      <c r="Z373" s="315" t="str">
        <f t="shared" ca="1" si="168"/>
        <v/>
      </c>
      <c r="AA373" s="316" t="str">
        <f t="shared" ca="1" si="169"/>
        <v/>
      </c>
      <c r="AC373" s="310" t="e">
        <f t="shared" ca="1" si="170"/>
        <v>#N/A</v>
      </c>
      <c r="AD373" s="323" t="e">
        <f t="shared" ca="1" si="171"/>
        <v>#N/A</v>
      </c>
      <c r="AE373" s="324">
        <f t="shared" ca="1" si="150"/>
        <v>462.17152259696473</v>
      </c>
      <c r="AG373" s="306">
        <f t="shared" ca="1" si="172"/>
        <v>80.854077807209592</v>
      </c>
      <c r="AH373" s="304">
        <f t="shared" ca="1" si="173"/>
        <v>90.033478137029249</v>
      </c>
    </row>
    <row r="374" spans="1:34" x14ac:dyDescent="0.2">
      <c r="A374" s="347">
        <f t="shared" ca="1" si="151"/>
        <v>0.01</v>
      </c>
      <c r="B374" s="304">
        <f t="shared" ca="1" si="152"/>
        <v>3.6999999999999651</v>
      </c>
      <c r="D374" s="306">
        <f t="shared" ca="1" si="153"/>
        <v>31.773824261908594</v>
      </c>
      <c r="E374" s="307">
        <f t="shared" ca="1" si="154"/>
        <v>74.443603015860305</v>
      </c>
      <c r="F374" s="304">
        <f t="shared" ca="1" si="155"/>
        <v>80.940879277468056</v>
      </c>
      <c r="G374" s="306">
        <f t="shared" ca="1" si="156"/>
        <v>98.976880736976042</v>
      </c>
      <c r="H374" s="307">
        <f t="shared" ca="1" si="157"/>
        <v>262.35563388555443</v>
      </c>
      <c r="I374" s="304">
        <f t="shared" ca="1" si="158"/>
        <v>280.40488860202254</v>
      </c>
      <c r="J374" s="306">
        <f t="shared" ca="1" si="159"/>
        <v>164.19254502559141</v>
      </c>
      <c r="K374" s="307">
        <f t="shared" ca="1" si="160"/>
        <v>464.79135675566948</v>
      </c>
      <c r="L374" s="304">
        <f t="shared" ca="1" si="145"/>
        <v>492.94035862034758</v>
      </c>
      <c r="M374" s="306">
        <f t="shared" ca="1" si="161"/>
        <v>1.2100437773374977</v>
      </c>
      <c r="N374" s="304">
        <f t="shared" ca="1" si="162"/>
        <v>69.330401467506547</v>
      </c>
      <c r="P374" s="310">
        <f t="shared" ca="1" si="163"/>
        <v>12</v>
      </c>
      <c r="Q374" s="304">
        <f t="shared" ca="1" si="164"/>
        <v>2264.6738612099575</v>
      </c>
      <c r="R374" s="306">
        <f t="shared" ca="1" si="165"/>
        <v>1.3619162882892606</v>
      </c>
      <c r="S374" s="307">
        <f t="shared" ca="1" si="166"/>
        <v>19.230725560107725</v>
      </c>
      <c r="T374" s="304">
        <f t="shared" ca="1" si="146"/>
        <v>188.65341774465679</v>
      </c>
      <c r="U374" s="311">
        <f t="shared" ca="1" si="147"/>
        <v>0</v>
      </c>
      <c r="V374" s="306">
        <f t="shared" ca="1" si="148"/>
        <v>1.1693561967380883</v>
      </c>
      <c r="W374" s="304">
        <f t="shared" ca="1" si="149"/>
        <v>535.97513369330386</v>
      </c>
      <c r="Y374" s="314" t="str">
        <f t="shared" ca="1" si="167"/>
        <v/>
      </c>
      <c r="Z374" s="315" t="str">
        <f t="shared" ca="1" si="168"/>
        <v/>
      </c>
      <c r="AA374" s="316" t="str">
        <f t="shared" ca="1" si="169"/>
        <v/>
      </c>
      <c r="AC374" s="310" t="e">
        <f t="shared" ca="1" si="170"/>
        <v>#N/A</v>
      </c>
      <c r="AD374" s="323" t="e">
        <f t="shared" ca="1" si="171"/>
        <v>#N/A</v>
      </c>
      <c r="AE374" s="324">
        <f t="shared" ca="1" si="150"/>
        <v>464.79135675566948</v>
      </c>
      <c r="AG374" s="306">
        <f t="shared" ca="1" si="172"/>
        <v>80.866824870916702</v>
      </c>
      <c r="AH374" s="304">
        <f t="shared" ca="1" si="173"/>
        <v>90.045796844610337</v>
      </c>
    </row>
    <row r="375" spans="1:34" x14ac:dyDescent="0.2">
      <c r="A375" s="347">
        <f t="shared" ca="1" si="151"/>
        <v>0.01</v>
      </c>
      <c r="B375" s="304">
        <f t="shared" ca="1" si="152"/>
        <v>3.7099999999999649</v>
      </c>
      <c r="D375" s="306">
        <f t="shared" ca="1" si="153"/>
        <v>31.788462472448426</v>
      </c>
      <c r="E375" s="307">
        <f t="shared" ca="1" si="154"/>
        <v>74.450911842322085</v>
      </c>
      <c r="F375" s="304">
        <f t="shared" ca="1" si="155"/>
        <v>80.953348420651992</v>
      </c>
      <c r="G375" s="306">
        <f t="shared" ca="1" si="156"/>
        <v>99.294765361700527</v>
      </c>
      <c r="H375" s="307">
        <f t="shared" ca="1" si="157"/>
        <v>263.10014300397762</v>
      </c>
      <c r="I375" s="304">
        <f t="shared" ca="1" si="158"/>
        <v>281.21368330319319</v>
      </c>
      <c r="J375" s="306">
        <f t="shared" ca="1" si="159"/>
        <v>165.18390325608479</v>
      </c>
      <c r="K375" s="307">
        <f t="shared" ca="1" si="160"/>
        <v>467.41863564011715</v>
      </c>
      <c r="L375" s="304">
        <f t="shared" ca="1" si="145"/>
        <v>495.74782181930374</v>
      </c>
      <c r="M375" s="306">
        <f t="shared" ca="1" si="161"/>
        <v>1.2099206425566751</v>
      </c>
      <c r="N375" s="304">
        <f t="shared" ca="1" si="162"/>
        <v>69.323346364254149</v>
      </c>
      <c r="P375" s="310">
        <f t="shared" ca="1" si="163"/>
        <v>12</v>
      </c>
      <c r="Q375" s="304">
        <f t="shared" ca="1" si="164"/>
        <v>2266.6244306049753</v>
      </c>
      <c r="R375" s="306">
        <f t="shared" ca="1" si="165"/>
        <v>1.3630893102753465</v>
      </c>
      <c r="S375" s="307">
        <f t="shared" ca="1" si="166"/>
        <v>19.217094667004972</v>
      </c>
      <c r="T375" s="304">
        <f t="shared" ca="1" si="146"/>
        <v>188.51969868331878</v>
      </c>
      <c r="U375" s="311">
        <f t="shared" ca="1" si="147"/>
        <v>0</v>
      </c>
      <c r="V375" s="306">
        <f t="shared" ca="1" si="148"/>
        <v>1.1690488476976679</v>
      </c>
      <c r="W375" s="304">
        <f t="shared" ca="1" si="149"/>
        <v>538.92981898906726</v>
      </c>
      <c r="Y375" s="314" t="str">
        <f t="shared" ca="1" si="167"/>
        <v/>
      </c>
      <c r="Z375" s="315" t="str">
        <f t="shared" ca="1" si="168"/>
        <v/>
      </c>
      <c r="AA375" s="316" t="str">
        <f t="shared" ca="1" si="169"/>
        <v/>
      </c>
      <c r="AC375" s="310" t="e">
        <f t="shared" ca="1" si="170"/>
        <v>#N/A</v>
      </c>
      <c r="AD375" s="323" t="e">
        <f t="shared" ca="1" si="171"/>
        <v>#N/A</v>
      </c>
      <c r="AE375" s="324">
        <f t="shared" ca="1" si="150"/>
        <v>467.41863564011715</v>
      </c>
      <c r="AG375" s="306">
        <f t="shared" ca="1" si="172"/>
        <v>80.879256926527532</v>
      </c>
      <c r="AH375" s="304">
        <f t="shared" ca="1" si="173"/>
        <v>90.057801499158515</v>
      </c>
    </row>
    <row r="376" spans="1:34" x14ac:dyDescent="0.2">
      <c r="A376" s="347">
        <f t="shared" ca="1" si="151"/>
        <v>0.01</v>
      </c>
      <c r="B376" s="304">
        <f t="shared" ca="1" si="152"/>
        <v>3.7199999999999647</v>
      </c>
      <c r="D376" s="306">
        <f t="shared" ca="1" si="153"/>
        <v>31.802965720331478</v>
      </c>
      <c r="E376" s="307">
        <f t="shared" ca="1" si="154"/>
        <v>74.457934955987412</v>
      </c>
      <c r="F376" s="304">
        <f t="shared" ca="1" si="155"/>
        <v>80.965503188201282</v>
      </c>
      <c r="G376" s="306">
        <f t="shared" ca="1" si="156"/>
        <v>99.612795018903839</v>
      </c>
      <c r="H376" s="307">
        <f t="shared" ca="1" si="157"/>
        <v>263.84472235353752</v>
      </c>
      <c r="I376" s="304">
        <f t="shared" ca="1" si="158"/>
        <v>282.02259917477085</v>
      </c>
      <c r="J376" s="306">
        <f t="shared" ca="1" si="159"/>
        <v>166.17844105798781</v>
      </c>
      <c r="K376" s="307">
        <f t="shared" ca="1" si="160"/>
        <v>470.05335996690474</v>
      </c>
      <c r="L376" s="304">
        <f t="shared" ca="1" si="145"/>
        <v>498.5633715874439</v>
      </c>
      <c r="M376" s="306">
        <f t="shared" ca="1" si="161"/>
        <v>1.2097978208853728</v>
      </c>
      <c r="N376" s="304">
        <f t="shared" ca="1" si="162"/>
        <v>69.316309200855784</v>
      </c>
      <c r="P376" s="310">
        <f t="shared" ca="1" si="163"/>
        <v>12</v>
      </c>
      <c r="Q376" s="304">
        <f t="shared" ca="1" si="164"/>
        <v>2268.574999999993</v>
      </c>
      <c r="R376" s="306">
        <f t="shared" ca="1" si="165"/>
        <v>1.3642623322614322</v>
      </c>
      <c r="S376" s="307">
        <f t="shared" ca="1" si="166"/>
        <v>19.203452043682358</v>
      </c>
      <c r="T376" s="304">
        <f t="shared" ca="1" si="146"/>
        <v>188.38586454852393</v>
      </c>
      <c r="U376" s="311">
        <f t="shared" ca="1" si="147"/>
        <v>0</v>
      </c>
      <c r="V376" s="306">
        <f t="shared" ca="1" si="148"/>
        <v>1.1687407068917981</v>
      </c>
      <c r="W376" s="304">
        <f t="shared" ca="1" si="149"/>
        <v>541.89188871833369</v>
      </c>
      <c r="Y376" s="314" t="str">
        <f t="shared" ca="1" si="167"/>
        <v/>
      </c>
      <c r="Z376" s="315" t="str">
        <f t="shared" ca="1" si="168"/>
        <v/>
      </c>
      <c r="AA376" s="316" t="str">
        <f t="shared" ca="1" si="169"/>
        <v/>
      </c>
      <c r="AC376" s="310" t="e">
        <f t="shared" ca="1" si="170"/>
        <v>#N/A</v>
      </c>
      <c r="AD376" s="323" t="e">
        <f t="shared" ca="1" si="171"/>
        <v>#N/A</v>
      </c>
      <c r="AE376" s="324">
        <f t="shared" ca="1" si="150"/>
        <v>470.05335996690474</v>
      </c>
      <c r="AG376" s="306">
        <f t="shared" ca="1" si="172"/>
        <v>80.891374439919971</v>
      </c>
      <c r="AH376" s="304">
        <f t="shared" ca="1" si="173"/>
        <v>90.069492561883038</v>
      </c>
    </row>
    <row r="377" spans="1:34" x14ac:dyDescent="0.2">
      <c r="A377" s="347">
        <f t="shared" ca="1" si="151"/>
        <v>0.01</v>
      </c>
      <c r="B377" s="304">
        <f t="shared" ca="1" si="152"/>
        <v>3.7299999999999645</v>
      </c>
      <c r="D377" s="306">
        <f t="shared" ca="1" si="153"/>
        <v>31.79690379746318</v>
      </c>
      <c r="E377" s="307">
        <f t="shared" ca="1" si="154"/>
        <v>74.410558739986413</v>
      </c>
      <c r="F377" s="304">
        <f t="shared" ca="1" si="155"/>
        <v>80.919554763370371</v>
      </c>
      <c r="G377" s="306">
        <f t="shared" ca="1" si="156"/>
        <v>99.930764056878473</v>
      </c>
      <c r="H377" s="307">
        <f t="shared" ca="1" si="157"/>
        <v>264.58882794093739</v>
      </c>
      <c r="I377" s="304">
        <f t="shared" ca="1" si="158"/>
        <v>282.83105465303925</v>
      </c>
      <c r="J377" s="306">
        <f t="shared" ca="1" si="159"/>
        <v>167.17615885336673</v>
      </c>
      <c r="K377" s="307">
        <f t="shared" ca="1" si="160"/>
        <v>472.69552771837709</v>
      </c>
      <c r="L377" s="304">
        <f t="shared" ca="1" si="145"/>
        <v>501.3870062276456</v>
      </c>
      <c r="M377" s="306">
        <f t="shared" ca="1" si="161"/>
        <v>1.2096753104366014</v>
      </c>
      <c r="N377" s="304">
        <f t="shared" ca="1" si="162"/>
        <v>69.309289869194927</v>
      </c>
      <c r="P377" s="310">
        <f t="shared" ca="1" si="163"/>
        <v>13</v>
      </c>
      <c r="Q377" s="304">
        <f t="shared" ca="1" si="164"/>
        <v>2269.4161878453006</v>
      </c>
      <c r="R377" s="306">
        <f t="shared" ca="1" si="165"/>
        <v>1.3647682008757427</v>
      </c>
      <c r="S377" s="307">
        <f t="shared" ca="1" si="166"/>
        <v>19.189804361673602</v>
      </c>
      <c r="T377" s="304">
        <f t="shared" ca="1" si="146"/>
        <v>188.25198078801805</v>
      </c>
      <c r="U377" s="311">
        <f t="shared" ca="1" si="147"/>
        <v>0</v>
      </c>
      <c r="V377" s="306">
        <f t="shared" ca="1" si="148"/>
        <v>1.1684317751982369</v>
      </c>
      <c r="W377" s="304">
        <f t="shared" ca="1" si="149"/>
        <v>544.85909286303536</v>
      </c>
      <c r="Y377" s="314" t="str">
        <f t="shared" ca="1" si="167"/>
        <v/>
      </c>
      <c r="Z377" s="315" t="str">
        <f t="shared" ca="1" si="168"/>
        <v/>
      </c>
      <c r="AA377" s="316" t="str">
        <f t="shared" ca="1" si="169"/>
        <v/>
      </c>
      <c r="AC377" s="310" t="e">
        <f t="shared" ca="1" si="170"/>
        <v>#N/A</v>
      </c>
      <c r="AD377" s="323" t="e">
        <f t="shared" ca="1" si="171"/>
        <v>#N/A</v>
      </c>
      <c r="AE377" s="324">
        <f t="shared" ca="1" si="150"/>
        <v>472.69552771837709</v>
      </c>
      <c r="AG377" s="306">
        <f t="shared" ca="1" si="172"/>
        <v>80.845335578963329</v>
      </c>
      <c r="AH377" s="304">
        <f t="shared" ca="1" si="173"/>
        <v>90.023028196015659</v>
      </c>
    </row>
    <row r="378" spans="1:34" x14ac:dyDescent="0.2">
      <c r="A378" s="347">
        <f t="shared" ca="1" si="151"/>
        <v>0.01</v>
      </c>
      <c r="B378" s="304">
        <f t="shared" ca="1" si="152"/>
        <v>3.7399999999999642</v>
      </c>
      <c r="D378" s="306">
        <f t="shared" ca="1" si="153"/>
        <v>31.790694936605941</v>
      </c>
      <c r="E378" s="307">
        <f t="shared" ca="1" si="154"/>
        <v>74.362905031696059</v>
      </c>
      <c r="F378" s="304">
        <f t="shared" ca="1" si="155"/>
        <v>80.873295526430667</v>
      </c>
      <c r="G378" s="306">
        <f t="shared" ca="1" si="156"/>
        <v>100.24867100624454</v>
      </c>
      <c r="H378" s="307">
        <f t="shared" ca="1" si="157"/>
        <v>265.33245699125433</v>
      </c>
      <c r="I378" s="304">
        <f t="shared" ca="1" si="158"/>
        <v>283.63904662710684</v>
      </c>
      <c r="J378" s="306">
        <f t="shared" ca="1" si="159"/>
        <v>168.17705602868236</v>
      </c>
      <c r="K378" s="307">
        <f t="shared" ca="1" si="160"/>
        <v>475.34513414303802</v>
      </c>
      <c r="L378" s="304">
        <f t="shared" ca="1" si="145"/>
        <v>504.2187211200486</v>
      </c>
      <c r="M378" s="306">
        <f t="shared" ca="1" si="161"/>
        <v>1.2095531093390581</v>
      </c>
      <c r="N378" s="304">
        <f t="shared" ca="1" si="162"/>
        <v>69.302288262053835</v>
      </c>
      <c r="P378" s="310">
        <f t="shared" ca="1" si="163"/>
        <v>13</v>
      </c>
      <c r="Q378" s="304">
        <f t="shared" ca="1" si="164"/>
        <v>2270.2573756906045</v>
      </c>
      <c r="R378" s="306">
        <f t="shared" ca="1" si="165"/>
        <v>1.3652740694900509</v>
      </c>
      <c r="S378" s="307">
        <f t="shared" ca="1" si="166"/>
        <v>19.1761516209787</v>
      </c>
      <c r="T378" s="304">
        <f t="shared" ca="1" si="146"/>
        <v>188.11804740180105</v>
      </c>
      <c r="U378" s="311">
        <f t="shared" ca="1" si="147"/>
        <v>0</v>
      </c>
      <c r="V378" s="306">
        <f t="shared" ca="1" si="148"/>
        <v>1.1681220538154224</v>
      </c>
      <c r="W378" s="304">
        <f t="shared" ca="1" si="149"/>
        <v>547.8313927813341</v>
      </c>
      <c r="Y378" s="314" t="str">
        <f t="shared" ca="1" si="167"/>
        <v/>
      </c>
      <c r="Z378" s="315" t="str">
        <f t="shared" ca="1" si="168"/>
        <v/>
      </c>
      <c r="AA378" s="316" t="str">
        <f t="shared" ca="1" si="169"/>
        <v/>
      </c>
      <c r="AC378" s="310" t="e">
        <f t="shared" ca="1" si="170"/>
        <v>#N/A</v>
      </c>
      <c r="AD378" s="323" t="e">
        <f t="shared" ca="1" si="171"/>
        <v>#N/A</v>
      </c>
      <c r="AE378" s="324">
        <f t="shared" ca="1" si="150"/>
        <v>475.34513414303802</v>
      </c>
      <c r="AG378" s="306">
        <f t="shared" ca="1" si="172"/>
        <v>80.798985626129152</v>
      </c>
      <c r="AH378" s="304">
        <f t="shared" ca="1" si="173"/>
        <v>89.976253678552695</v>
      </c>
    </row>
    <row r="379" spans="1:34" x14ac:dyDescent="0.2">
      <c r="A379" s="347">
        <f t="shared" ca="1" si="151"/>
        <v>0.01</v>
      </c>
      <c r="B379" s="304">
        <f t="shared" ca="1" si="152"/>
        <v>3.749999999999964</v>
      </c>
      <c r="D379" s="306">
        <f t="shared" ca="1" si="153"/>
        <v>31.784339698948855</v>
      </c>
      <c r="E379" s="307">
        <f t="shared" ca="1" si="154"/>
        <v>74.314975039733397</v>
      </c>
      <c r="F379" s="304">
        <f t="shared" ca="1" si="155"/>
        <v>80.826726800324991</v>
      </c>
      <c r="G379" s="306">
        <f t="shared" ca="1" si="156"/>
        <v>100.56651440323402</v>
      </c>
      <c r="H379" s="307">
        <f t="shared" ca="1" si="157"/>
        <v>266.07560674165165</v>
      </c>
      <c r="I379" s="304">
        <f t="shared" ca="1" si="158"/>
        <v>284.44657199930174</v>
      </c>
      <c r="J379" s="306">
        <f t="shared" ca="1" si="159"/>
        <v>169.18113195572974</v>
      </c>
      <c r="K379" s="307">
        <f t="shared" ca="1" si="160"/>
        <v>478.00217446170257</v>
      </c>
      <c r="L379" s="304">
        <f t="shared" ca="1" si="145"/>
        <v>507.05851161373675</v>
      </c>
      <c r="M379" s="306">
        <f t="shared" ca="1" si="161"/>
        <v>1.2094312157369544</v>
      </c>
      <c r="N379" s="304">
        <f t="shared" ca="1" si="162"/>
        <v>69.295304273103639</v>
      </c>
      <c r="P379" s="310">
        <f t="shared" ca="1" si="163"/>
        <v>13</v>
      </c>
      <c r="Q379" s="304">
        <f t="shared" ca="1" si="164"/>
        <v>2271.0985635359084</v>
      </c>
      <c r="R379" s="306">
        <f t="shared" ca="1" si="165"/>
        <v>1.3657799381043592</v>
      </c>
      <c r="S379" s="307">
        <f t="shared" ca="1" si="166"/>
        <v>19.162493821597657</v>
      </c>
      <c r="T379" s="304">
        <f t="shared" ca="1" si="146"/>
        <v>187.98406438987303</v>
      </c>
      <c r="U379" s="311">
        <f t="shared" ca="1" si="147"/>
        <v>0</v>
      </c>
      <c r="V379" s="306">
        <f t="shared" ca="1" si="148"/>
        <v>1.1678115439458412</v>
      </c>
      <c r="W379" s="304">
        <f t="shared" ca="1" si="149"/>
        <v>550.80874976911127</v>
      </c>
      <c r="Y379" s="314" t="str">
        <f t="shared" ca="1" si="167"/>
        <v/>
      </c>
      <c r="Z379" s="315" t="str">
        <f t="shared" ca="1" si="168"/>
        <v/>
      </c>
      <c r="AA379" s="316" t="str">
        <f t="shared" ca="1" si="169"/>
        <v/>
      </c>
      <c r="AC379" s="310" t="e">
        <f t="shared" ca="1" si="170"/>
        <v>#N/A</v>
      </c>
      <c r="AD379" s="323" t="e">
        <f t="shared" ca="1" si="171"/>
        <v>#N/A</v>
      </c>
      <c r="AE379" s="324">
        <f t="shared" ca="1" si="150"/>
        <v>478.00217446170257</v>
      </c>
      <c r="AG379" s="306">
        <f t="shared" ca="1" si="172"/>
        <v>80.75232590341777</v>
      </c>
      <c r="AH379" s="304">
        <f t="shared" ca="1" si="173"/>
        <v>89.929170326062405</v>
      </c>
    </row>
    <row r="380" spans="1:34" x14ac:dyDescent="0.2">
      <c r="A380" s="347">
        <f t="shared" ca="1" si="151"/>
        <v>0.01</v>
      </c>
      <c r="B380" s="304">
        <f t="shared" ca="1" si="152"/>
        <v>3.7599999999999638</v>
      </c>
      <c r="D380" s="306">
        <f t="shared" ca="1" si="153"/>
        <v>31.777838647458292</v>
      </c>
      <c r="E380" s="307">
        <f t="shared" ca="1" si="154"/>
        <v>74.266769978903312</v>
      </c>
      <c r="F380" s="304">
        <f t="shared" ca="1" si="155"/>
        <v>80.779849914463384</v>
      </c>
      <c r="G380" s="306">
        <f t="shared" ca="1" si="156"/>
        <v>100.88429278970861</v>
      </c>
      <c r="H380" s="307">
        <f t="shared" ca="1" si="157"/>
        <v>266.81827444144068</v>
      </c>
      <c r="I380" s="304">
        <f t="shared" ca="1" si="158"/>
        <v>285.25362768523667</v>
      </c>
      <c r="J380" s="306">
        <f t="shared" ca="1" si="159"/>
        <v>170.18838599169445</v>
      </c>
      <c r="K380" s="307">
        <f t="shared" ca="1" si="160"/>
        <v>480.66664386761801</v>
      </c>
      <c r="L380" s="304">
        <f t="shared" ca="1" si="145"/>
        <v>509.90637302686997</v>
      </c>
      <c r="M380" s="306">
        <f t="shared" ca="1" si="161"/>
        <v>1.2093096277898467</v>
      </c>
      <c r="N380" s="304">
        <f t="shared" ca="1" si="162"/>
        <v>69.288337796894709</v>
      </c>
      <c r="P380" s="310">
        <f t="shared" ca="1" si="163"/>
        <v>13</v>
      </c>
      <c r="Q380" s="304">
        <f t="shared" ca="1" si="164"/>
        <v>2271.9397513812123</v>
      </c>
      <c r="R380" s="306">
        <f t="shared" ca="1" si="165"/>
        <v>1.3662858067186674</v>
      </c>
      <c r="S380" s="307">
        <f t="shared" ca="1" si="166"/>
        <v>19.148830963530472</v>
      </c>
      <c r="T380" s="304">
        <f t="shared" ca="1" si="146"/>
        <v>187.85003175223395</v>
      </c>
      <c r="U380" s="311">
        <f t="shared" ca="1" si="147"/>
        <v>0</v>
      </c>
      <c r="V380" s="306">
        <f t="shared" ca="1" si="148"/>
        <v>1.1675002467960058</v>
      </c>
      <c r="W380" s="304">
        <f t="shared" ca="1" si="149"/>
        <v>553.79112506154593</v>
      </c>
      <c r="Y380" s="314" t="str">
        <f t="shared" ca="1" si="167"/>
        <v/>
      </c>
      <c r="Z380" s="315" t="str">
        <f t="shared" ca="1" si="168"/>
        <v/>
      </c>
      <c r="AA380" s="316" t="str">
        <f t="shared" ca="1" si="169"/>
        <v/>
      </c>
      <c r="AC380" s="310" t="e">
        <f t="shared" ca="1" si="170"/>
        <v>#N/A</v>
      </c>
      <c r="AD380" s="323" t="e">
        <f t="shared" ca="1" si="171"/>
        <v>#N/A</v>
      </c>
      <c r="AE380" s="324">
        <f t="shared" ca="1" si="150"/>
        <v>480.66664386761801</v>
      </c>
      <c r="AG380" s="306">
        <f t="shared" ca="1" si="172"/>
        <v>80.705357739305057</v>
      </c>
      <c r="AH380" s="304">
        <f t="shared" ca="1" si="173"/>
        <v>89.881779461631211</v>
      </c>
    </row>
    <row r="381" spans="1:34" x14ac:dyDescent="0.2">
      <c r="A381" s="347">
        <f t="shared" ca="1" si="151"/>
        <v>0.01</v>
      </c>
      <c r="B381" s="304">
        <f t="shared" ca="1" si="152"/>
        <v>3.7699999999999636</v>
      </c>
      <c r="D381" s="306">
        <f t="shared" ca="1" si="153"/>
        <v>31.771192346870816</v>
      </c>
      <c r="E381" s="307">
        <f t="shared" ca="1" si="154"/>
        <v>74.218291070143096</v>
      </c>
      <c r="F381" s="304">
        <f t="shared" ca="1" si="155"/>
        <v>80.732666204668021</v>
      </c>
      <c r="G381" s="306">
        <f t="shared" ca="1" si="156"/>
        <v>101.20200471317732</v>
      </c>
      <c r="H381" s="307">
        <f t="shared" ca="1" si="157"/>
        <v>267.56045735214212</v>
      </c>
      <c r="I381" s="304">
        <f t="shared" ca="1" si="158"/>
        <v>286.0602106138731</v>
      </c>
      <c r="J381" s="306">
        <f t="shared" ca="1" si="159"/>
        <v>171.19881747920888</v>
      </c>
      <c r="K381" s="307">
        <f t="shared" ca="1" si="160"/>
        <v>483.33853752658592</v>
      </c>
      <c r="L381" s="304">
        <f t="shared" ca="1" si="145"/>
        <v>512.76230064681863</v>
      </c>
      <c r="M381" s="306">
        <f t="shared" ca="1" si="161"/>
        <v>1.2091883436724691</v>
      </c>
      <c r="N381" s="304">
        <f t="shared" ca="1" si="162"/>
        <v>69.281388728847006</v>
      </c>
      <c r="P381" s="310">
        <f t="shared" ca="1" si="163"/>
        <v>13</v>
      </c>
      <c r="Q381" s="304">
        <f t="shared" ca="1" si="164"/>
        <v>2272.7809392265162</v>
      </c>
      <c r="R381" s="306">
        <f t="shared" ca="1" si="165"/>
        <v>1.3667916753329756</v>
      </c>
      <c r="S381" s="307">
        <f t="shared" ca="1" si="166"/>
        <v>19.135163046777141</v>
      </c>
      <c r="T381" s="304">
        <f t="shared" ca="1" si="146"/>
        <v>187.71594948888375</v>
      </c>
      <c r="U381" s="311">
        <f t="shared" ca="1" si="147"/>
        <v>0</v>
      </c>
      <c r="V381" s="306">
        <f t="shared" ca="1" si="148"/>
        <v>1.1671881635764281</v>
      </c>
      <c r="W381" s="304">
        <f t="shared" ca="1" si="149"/>
        <v>556.77847983469019</v>
      </c>
      <c r="Y381" s="314" t="str">
        <f t="shared" ca="1" si="167"/>
        <v/>
      </c>
      <c r="Z381" s="315" t="str">
        <f t="shared" ca="1" si="168"/>
        <v/>
      </c>
      <c r="AA381" s="316" t="str">
        <f t="shared" ca="1" si="169"/>
        <v/>
      </c>
      <c r="AC381" s="310" t="e">
        <f t="shared" ca="1" si="170"/>
        <v>#N/A</v>
      </c>
      <c r="AD381" s="323" t="e">
        <f t="shared" ca="1" si="171"/>
        <v>#N/A</v>
      </c>
      <c r="AE381" s="324">
        <f t="shared" ca="1" si="150"/>
        <v>483.33853752658592</v>
      </c>
      <c r="AG381" s="306">
        <f t="shared" ca="1" si="172"/>
        <v>80.658082468687269</v>
      </c>
      <c r="AH381" s="304">
        <f t="shared" ca="1" si="173"/>
        <v>89.834082414808208</v>
      </c>
    </row>
    <row r="382" spans="1:34" x14ac:dyDescent="0.2">
      <c r="A382" s="347">
        <f t="shared" ca="1" si="151"/>
        <v>0.01</v>
      </c>
      <c r="B382" s="304">
        <f t="shared" ca="1" si="152"/>
        <v>3.7799999999999634</v>
      </c>
      <c r="D382" s="306">
        <f t="shared" ca="1" si="153"/>
        <v>31.764401363685781</v>
      </c>
      <c r="E382" s="307">
        <f t="shared" ca="1" si="154"/>
        <v>74.169539540466744</v>
      </c>
      <c r="F382" s="304">
        <f t="shared" ca="1" si="155"/>
        <v>80.685177013117979</v>
      </c>
      <c r="G382" s="306">
        <f t="shared" ca="1" si="156"/>
        <v>101.51964872681417</v>
      </c>
      <c r="H382" s="307">
        <f t="shared" ca="1" si="157"/>
        <v>268.30215274754681</v>
      </c>
      <c r="I382" s="304">
        <f t="shared" ca="1" si="158"/>
        <v>286.86631772758489</v>
      </c>
      <c r="J382" s="306">
        <f t="shared" ca="1" si="159"/>
        <v>172.21242574640885</v>
      </c>
      <c r="K382" s="307">
        <f t="shared" ca="1" si="160"/>
        <v>486.01785057708435</v>
      </c>
      <c r="L382" s="304">
        <f t="shared" ca="1" si="145"/>
        <v>515.62628973029632</v>
      </c>
      <c r="M382" s="306">
        <f t="shared" ca="1" si="161"/>
        <v>1.2090673615745668</v>
      </c>
      <c r="N382" s="304">
        <f t="shared" ca="1" si="162"/>
        <v>69.27445696524056</v>
      </c>
      <c r="P382" s="310">
        <f t="shared" ca="1" si="163"/>
        <v>13</v>
      </c>
      <c r="Q382" s="304">
        <f t="shared" ca="1" si="164"/>
        <v>2273.6221270718202</v>
      </c>
      <c r="R382" s="306">
        <f t="shared" ca="1" si="165"/>
        <v>1.3672975439472839</v>
      </c>
      <c r="S382" s="307">
        <f t="shared" ca="1" si="166"/>
        <v>19.121490071337668</v>
      </c>
      <c r="T382" s="304">
        <f t="shared" ca="1" si="146"/>
        <v>187.58181759982253</v>
      </c>
      <c r="U382" s="311">
        <f t="shared" ca="1" si="147"/>
        <v>0</v>
      </c>
      <c r="V382" s="306">
        <f t="shared" ca="1" si="148"/>
        <v>1.1668752955015942</v>
      </c>
      <c r="W382" s="304">
        <f t="shared" ca="1" si="149"/>
        <v>559.77077520704665</v>
      </c>
      <c r="Y382" s="314" t="str">
        <f t="shared" ca="1" si="167"/>
        <v/>
      </c>
      <c r="Z382" s="315" t="str">
        <f t="shared" ca="1" si="168"/>
        <v/>
      </c>
      <c r="AA382" s="316" t="str">
        <f t="shared" ca="1" si="169"/>
        <v/>
      </c>
      <c r="AC382" s="310" t="e">
        <f t="shared" ca="1" si="170"/>
        <v>#N/A</v>
      </c>
      <c r="AD382" s="323" t="e">
        <f t="shared" ca="1" si="171"/>
        <v>#N/A</v>
      </c>
      <c r="AE382" s="324">
        <f t="shared" ca="1" si="150"/>
        <v>486.01785057708435</v>
      </c>
      <c r="AG382" s="306">
        <f t="shared" ca="1" si="172"/>
        <v>80.610501432825771</v>
      </c>
      <c r="AH382" s="304">
        <f t="shared" ca="1" si="173"/>
        <v>89.786080521549337</v>
      </c>
    </row>
    <row r="383" spans="1:34" x14ac:dyDescent="0.2">
      <c r="A383" s="347">
        <f t="shared" ca="1" si="151"/>
        <v>0.01</v>
      </c>
      <c r="B383" s="304">
        <f t="shared" ca="1" si="152"/>
        <v>3.7899999999999632</v>
      </c>
      <c r="D383" s="306">
        <f t="shared" ca="1" si="153"/>
        <v>31.757466266157838</v>
      </c>
      <c r="E383" s="307">
        <f t="shared" ca="1" si="154"/>
        <v>74.120516622908866</v>
      </c>
      <c r="F383" s="304">
        <f t="shared" ca="1" si="155"/>
        <v>80.637383688293497</v>
      </c>
      <c r="G383" s="306">
        <f t="shared" ca="1" si="156"/>
        <v>101.83722338947575</v>
      </c>
      <c r="H383" s="307">
        <f t="shared" ca="1" si="157"/>
        <v>269.04335791377588</v>
      </c>
      <c r="I383" s="304">
        <f t="shared" ca="1" si="158"/>
        <v>287.67194598222136</v>
      </c>
      <c r="J383" s="306">
        <f t="shared" ca="1" si="159"/>
        <v>173.22921010699031</v>
      </c>
      <c r="K383" s="307">
        <f t="shared" ca="1" si="160"/>
        <v>488.70457813039098</v>
      </c>
      <c r="L383" s="304">
        <f t="shared" ca="1" si="145"/>
        <v>518.49833550349535</v>
      </c>
      <c r="M383" s="306">
        <f t="shared" ca="1" si="161"/>
        <v>1.2089466797007353</v>
      </c>
      <c r="N383" s="304">
        <f t="shared" ca="1" si="162"/>
        <v>69.267542403206292</v>
      </c>
      <c r="P383" s="310">
        <f t="shared" ca="1" si="163"/>
        <v>13</v>
      </c>
      <c r="Q383" s="304">
        <f t="shared" ca="1" si="164"/>
        <v>2274.4633149171236</v>
      </c>
      <c r="R383" s="306">
        <f t="shared" ca="1" si="165"/>
        <v>1.3678034125615919</v>
      </c>
      <c r="S383" s="307">
        <f t="shared" ca="1" si="166"/>
        <v>19.107812037212053</v>
      </c>
      <c r="T383" s="304">
        <f t="shared" ca="1" si="146"/>
        <v>187.44763608505025</v>
      </c>
      <c r="U383" s="311">
        <f t="shared" ca="1" si="147"/>
        <v>0</v>
      </c>
      <c r="V383" s="306">
        <f t="shared" ca="1" si="148"/>
        <v>1.1665616437899409</v>
      </c>
      <c r="W383" s="304">
        <f t="shared" ca="1" si="149"/>
        <v>562.76797224114523</v>
      </c>
      <c r="Y383" s="314" t="str">
        <f t="shared" ca="1" si="167"/>
        <v/>
      </c>
      <c r="Z383" s="315" t="str">
        <f t="shared" ca="1" si="168"/>
        <v/>
      </c>
      <c r="AA383" s="316" t="str">
        <f t="shared" ca="1" si="169"/>
        <v/>
      </c>
      <c r="AC383" s="310" t="e">
        <f t="shared" ca="1" si="170"/>
        <v>#N/A</v>
      </c>
      <c r="AD383" s="323" t="e">
        <f t="shared" ca="1" si="171"/>
        <v>#N/A</v>
      </c>
      <c r="AE383" s="324">
        <f t="shared" ca="1" si="150"/>
        <v>488.70457813039098</v>
      </c>
      <c r="AG383" s="306">
        <f t="shared" ca="1" si="172"/>
        <v>80.562615979291252</v>
      </c>
      <c r="AH383" s="304">
        <f t="shared" ca="1" si="173"/>
        <v>89.73777512416126</v>
      </c>
    </row>
    <row r="384" spans="1:34" x14ac:dyDescent="0.2">
      <c r="A384" s="347">
        <f t="shared" ca="1" si="151"/>
        <v>0.01</v>
      </c>
      <c r="B384" s="304">
        <f t="shared" ca="1" si="152"/>
        <v>3.799999999999963</v>
      </c>
      <c r="D384" s="306">
        <f t="shared" ca="1" si="153"/>
        <v>31.750387624288912</v>
      </c>
      <c r="E384" s="307">
        <f t="shared" ca="1" si="154"/>
        <v>74.071223556468908</v>
      </c>
      <c r="F384" s="304">
        <f t="shared" ca="1" si="155"/>
        <v>80.589287584920328</v>
      </c>
      <c r="G384" s="306">
        <f t="shared" ca="1" si="156"/>
        <v>102.15472726571865</v>
      </c>
      <c r="H384" s="307">
        <f t="shared" ca="1" si="157"/>
        <v>269.78407014934055</v>
      </c>
      <c r="I384" s="304">
        <f t="shared" ca="1" si="158"/>
        <v>288.47709234717001</v>
      </c>
      <c r="J384" s="306">
        <f t="shared" ca="1" si="159"/>
        <v>174.24916986026628</v>
      </c>
      <c r="K384" s="307">
        <f t="shared" ca="1" si="160"/>
        <v>491.39871527070659</v>
      </c>
      <c r="L384" s="304">
        <f t="shared" ca="1" si="145"/>
        <v>521.37843316222131</v>
      </c>
      <c r="M384" s="306">
        <f t="shared" ca="1" si="161"/>
        <v>1.2088262962702589</v>
      </c>
      <c r="N384" s="304">
        <f t="shared" ca="1" si="162"/>
        <v>69.260644940716688</v>
      </c>
      <c r="P384" s="310">
        <f t="shared" ca="1" si="163"/>
        <v>13</v>
      </c>
      <c r="Q384" s="304">
        <f t="shared" ca="1" si="164"/>
        <v>2275.3045027624275</v>
      </c>
      <c r="R384" s="306">
        <f t="shared" ca="1" si="165"/>
        <v>1.3683092811759001</v>
      </c>
      <c r="S384" s="307">
        <f t="shared" ca="1" si="166"/>
        <v>19.094128944400293</v>
      </c>
      <c r="T384" s="304">
        <f t="shared" ca="1" si="146"/>
        <v>187.31340494456688</v>
      </c>
      <c r="U384" s="311">
        <f t="shared" ca="1" si="147"/>
        <v>0</v>
      </c>
      <c r="V384" s="306">
        <f t="shared" ca="1" si="148"/>
        <v>1.166247209663827</v>
      </c>
      <c r="W384" s="304">
        <f t="shared" ca="1" si="149"/>
        <v>565.77003194512065</v>
      </c>
      <c r="Y384" s="314" t="str">
        <f t="shared" ca="1" si="167"/>
        <v/>
      </c>
      <c r="Z384" s="315" t="str">
        <f t="shared" ca="1" si="168"/>
        <v/>
      </c>
      <c r="AA384" s="316" t="str">
        <f t="shared" ca="1" si="169"/>
        <v/>
      </c>
      <c r="AC384" s="310" t="e">
        <f t="shared" ca="1" si="170"/>
        <v>#N/A</v>
      </c>
      <c r="AD384" s="323" t="e">
        <f t="shared" ca="1" si="171"/>
        <v>#N/A</v>
      </c>
      <c r="AE384" s="324">
        <f t="shared" ca="1" si="150"/>
        <v>491.39871527070659</v>
      </c>
      <c r="AG384" s="306">
        <f t="shared" ca="1" si="172"/>
        <v>80.51442746190817</v>
      </c>
      <c r="AH384" s="304">
        <f t="shared" ca="1" si="173"/>
        <v>89.689167571245264</v>
      </c>
    </row>
    <row r="385" spans="1:34" x14ac:dyDescent="0.2">
      <c r="A385" s="347">
        <f t="shared" ca="1" si="151"/>
        <v>0.01</v>
      </c>
      <c r="B385" s="304">
        <f t="shared" ca="1" si="152"/>
        <v>3.8099999999999627</v>
      </c>
      <c r="D385" s="306">
        <f t="shared" ca="1" si="153"/>
        <v>31.743166009819966</v>
      </c>
      <c r="E385" s="307">
        <f t="shared" ca="1" si="154"/>
        <v>74.021661586054591</v>
      </c>
      <c r="F385" s="304">
        <f t="shared" ca="1" si="155"/>
        <v>80.540890063913366</v>
      </c>
      <c r="G385" s="306">
        <f t="shared" ca="1" si="156"/>
        <v>102.47215892581684</v>
      </c>
      <c r="H385" s="307">
        <f t="shared" ca="1" si="157"/>
        <v>270.52428676520111</v>
      </c>
      <c r="I385" s="304">
        <f t="shared" ca="1" si="158"/>
        <v>289.28175380541825</v>
      </c>
      <c r="J385" s="306">
        <f t="shared" ca="1" si="159"/>
        <v>175.27230429122395</v>
      </c>
      <c r="K385" s="307">
        <f t="shared" ca="1" si="160"/>
        <v>494.10025705527931</v>
      </c>
      <c r="L385" s="304">
        <f t="shared" ca="1" si="145"/>
        <v>524.2665778720293</v>
      </c>
      <c r="M385" s="306">
        <f t="shared" ca="1" si="161"/>
        <v>1.2087062095169521</v>
      </c>
      <c r="N385" s="304">
        <f t="shared" ca="1" si="162"/>
        <v>69.253764476576777</v>
      </c>
      <c r="P385" s="310">
        <f t="shared" ca="1" si="163"/>
        <v>13</v>
      </c>
      <c r="Q385" s="304">
        <f t="shared" ca="1" si="164"/>
        <v>2276.1456906077315</v>
      </c>
      <c r="R385" s="306">
        <f t="shared" ca="1" si="165"/>
        <v>1.3688151497902084</v>
      </c>
      <c r="S385" s="307">
        <f t="shared" ca="1" si="166"/>
        <v>19.08044079290239</v>
      </c>
      <c r="T385" s="304">
        <f t="shared" ca="1" si="146"/>
        <v>187.17912417837246</v>
      </c>
      <c r="U385" s="311">
        <f t="shared" ca="1" si="147"/>
        <v>0</v>
      </c>
      <c r="V385" s="306">
        <f t="shared" ca="1" si="148"/>
        <v>1.1659319943495108</v>
      </c>
      <c r="W385" s="304">
        <f t="shared" ca="1" si="149"/>
        <v>568.77691527428908</v>
      </c>
      <c r="Y385" s="314" t="str">
        <f t="shared" ca="1" si="167"/>
        <v/>
      </c>
      <c r="Z385" s="315" t="str">
        <f t="shared" ca="1" si="168"/>
        <v/>
      </c>
      <c r="AA385" s="316" t="str">
        <f t="shared" ca="1" si="169"/>
        <v/>
      </c>
      <c r="AC385" s="310" t="e">
        <f t="shared" ca="1" si="170"/>
        <v>#N/A</v>
      </c>
      <c r="AD385" s="323" t="e">
        <f t="shared" ca="1" si="171"/>
        <v>#N/A</v>
      </c>
      <c r="AE385" s="324">
        <f t="shared" ca="1" si="150"/>
        <v>494.10025705527931</v>
      </c>
      <c r="AG385" s="306">
        <f t="shared" ca="1" si="172"/>
        <v>80.465937240698224</v>
      </c>
      <c r="AH385" s="304">
        <f t="shared" ca="1" si="173"/>
        <v>89.640259217640434</v>
      </c>
    </row>
    <row r="386" spans="1:34" x14ac:dyDescent="0.2">
      <c r="A386" s="347">
        <f t="shared" ca="1" si="151"/>
        <v>0.01</v>
      </c>
      <c r="B386" s="304">
        <f t="shared" ca="1" si="152"/>
        <v>3.8199999999999625</v>
      </c>
      <c r="D386" s="306">
        <f t="shared" ca="1" si="153"/>
        <v>31.735801996222627</v>
      </c>
      <c r="E386" s="307">
        <f t="shared" ca="1" si="154"/>
        <v>73.971831962425725</v>
      </c>
      <c r="F386" s="304">
        <f t="shared" ca="1" si="155"/>
        <v>80.492192492320626</v>
      </c>
      <c r="G386" s="306">
        <f t="shared" ca="1" si="156"/>
        <v>102.78951694577907</v>
      </c>
      <c r="H386" s="307">
        <f t="shared" ca="1" si="157"/>
        <v>271.26400508482538</v>
      </c>
      <c r="I386" s="304">
        <f t="shared" ca="1" si="158"/>
        <v>290.08592735361498</v>
      </c>
      <c r="J386" s="306">
        <f t="shared" ca="1" si="159"/>
        <v>176.29861267058192</v>
      </c>
      <c r="K386" s="307">
        <f t="shared" ca="1" si="160"/>
        <v>496.80919851452944</v>
      </c>
      <c r="L386" s="304">
        <f t="shared" ca="1" si="145"/>
        <v>527.16276476835969</v>
      </c>
      <c r="M386" s="306">
        <f t="shared" ca="1" si="161"/>
        <v>1.2085864176890033</v>
      </c>
      <c r="N386" s="304">
        <f t="shared" ca="1" si="162"/>
        <v>69.24690091041515</v>
      </c>
      <c r="P386" s="310">
        <f t="shared" ca="1" si="163"/>
        <v>13</v>
      </c>
      <c r="Q386" s="304">
        <f t="shared" ca="1" si="164"/>
        <v>2276.9868784530354</v>
      </c>
      <c r="R386" s="306">
        <f t="shared" ca="1" si="165"/>
        <v>1.3693210184045166</v>
      </c>
      <c r="S386" s="307">
        <f t="shared" ca="1" si="166"/>
        <v>19.066747582718346</v>
      </c>
      <c r="T386" s="304">
        <f t="shared" ca="1" si="146"/>
        <v>187.04479378646698</v>
      </c>
      <c r="U386" s="311">
        <f t="shared" ca="1" si="147"/>
        <v>0</v>
      </c>
      <c r="V386" s="306">
        <f t="shared" ca="1" si="148"/>
        <v>1.1656159990771242</v>
      </c>
      <c r="W386" s="304">
        <f t="shared" ca="1" si="149"/>
        <v>571.78858313272622</v>
      </c>
      <c r="Y386" s="314" t="str">
        <f t="shared" ca="1" si="167"/>
        <v/>
      </c>
      <c r="Z386" s="315" t="str">
        <f t="shared" ca="1" si="168"/>
        <v/>
      </c>
      <c r="AA386" s="316" t="str">
        <f t="shared" ca="1" si="169"/>
        <v/>
      </c>
      <c r="AC386" s="310" t="e">
        <f t="shared" ca="1" si="170"/>
        <v>#N/A</v>
      </c>
      <c r="AD386" s="323" t="e">
        <f t="shared" ca="1" si="171"/>
        <v>#N/A</v>
      </c>
      <c r="AE386" s="324">
        <f t="shared" ca="1" si="150"/>
        <v>496.80919851452944</v>
      </c>
      <c r="AG386" s="306">
        <f t="shared" ca="1" si="172"/>
        <v>80.417146681824306</v>
      </c>
      <c r="AH386" s="304">
        <f t="shared" ca="1" si="173"/>
        <v>89.591051424367095</v>
      </c>
    </row>
    <row r="387" spans="1:34" x14ac:dyDescent="0.2">
      <c r="A387" s="347">
        <f t="shared" ca="1" si="151"/>
        <v>0.01</v>
      </c>
      <c r="B387" s="304">
        <f t="shared" ca="1" si="152"/>
        <v>3.8299999999999623</v>
      </c>
      <c r="D387" s="306">
        <f t="shared" ca="1" si="153"/>
        <v>31.728296158690469</v>
      </c>
      <c r="E387" s="307">
        <f t="shared" ca="1" si="154"/>
        <v>73.921735942137673</v>
      </c>
      <c r="F387" s="304">
        <f t="shared" ca="1" si="155"/>
        <v>80.443196243266598</v>
      </c>
      <c r="G387" s="306">
        <f t="shared" ca="1" si="156"/>
        <v>103.10679990736597</v>
      </c>
      <c r="H387" s="307">
        <f t="shared" ca="1" si="157"/>
        <v>272.00322244424677</v>
      </c>
      <c r="I387" s="304">
        <f t="shared" ca="1" si="158"/>
        <v>290.88961000213123</v>
      </c>
      <c r="J387" s="306">
        <f t="shared" ca="1" si="159"/>
        <v>177.32809425484766</v>
      </c>
      <c r="K387" s="307">
        <f t="shared" ca="1" si="160"/>
        <v>499.52553465217483</v>
      </c>
      <c r="L387" s="304">
        <f t="shared" ca="1" si="145"/>
        <v>530.06698895667637</v>
      </c>
      <c r="M387" s="306">
        <f t="shared" ca="1" si="161"/>
        <v>1.2084669190488211</v>
      </c>
      <c r="N387" s="304">
        <f t="shared" ca="1" si="162"/>
        <v>69.240054142675163</v>
      </c>
      <c r="P387" s="310">
        <f t="shared" ca="1" si="163"/>
        <v>13</v>
      </c>
      <c r="Q387" s="304">
        <f t="shared" ca="1" si="164"/>
        <v>2277.8280662983393</v>
      </c>
      <c r="R387" s="306">
        <f t="shared" ca="1" si="165"/>
        <v>1.3698268870188248</v>
      </c>
      <c r="S387" s="307">
        <f t="shared" ca="1" si="166"/>
        <v>19.053049313848156</v>
      </c>
      <c r="T387" s="304">
        <f t="shared" ca="1" si="146"/>
        <v>186.91041376885042</v>
      </c>
      <c r="U387" s="311">
        <f t="shared" ca="1" si="147"/>
        <v>0</v>
      </c>
      <c r="V387" s="306">
        <f t="shared" ca="1" si="148"/>
        <v>1.1652992250806458</v>
      </c>
      <c r="W387" s="304">
        <f t="shared" ca="1" si="149"/>
        <v>574.80499637484252</v>
      </c>
      <c r="Y387" s="314" t="str">
        <f t="shared" ca="1" si="167"/>
        <v/>
      </c>
      <c r="Z387" s="315" t="str">
        <f t="shared" ca="1" si="168"/>
        <v/>
      </c>
      <c r="AA387" s="316" t="str">
        <f t="shared" ca="1" si="169"/>
        <v/>
      </c>
      <c r="AC387" s="310" t="e">
        <f t="shared" ca="1" si="170"/>
        <v>#N/A</v>
      </c>
      <c r="AD387" s="323" t="e">
        <f t="shared" ca="1" si="171"/>
        <v>#N/A</v>
      </c>
      <c r="AE387" s="324">
        <f t="shared" ca="1" si="150"/>
        <v>499.52553465217483</v>
      </c>
      <c r="AG387" s="306">
        <f t="shared" ca="1" si="172"/>
        <v>80.36805715753394</v>
      </c>
      <c r="AH387" s="304">
        <f t="shared" ca="1" si="173"/>
        <v>89.541545558569865</v>
      </c>
    </row>
    <row r="388" spans="1:34" x14ac:dyDescent="0.2">
      <c r="A388" s="347">
        <f t="shared" ca="1" si="151"/>
        <v>0.01</v>
      </c>
      <c r="B388" s="304">
        <f t="shared" ca="1" si="152"/>
        <v>3.8399999999999621</v>
      </c>
      <c r="D388" s="306">
        <f t="shared" ca="1" si="153"/>
        <v>31.720649074130026</v>
      </c>
      <c r="E388" s="307">
        <f t="shared" ca="1" si="154"/>
        <v>73.87137478748464</v>
      </c>
      <c r="F388" s="304">
        <f t="shared" ca="1" si="155"/>
        <v>80.393902695895591</v>
      </c>
      <c r="G388" s="306">
        <f t="shared" ca="1" si="156"/>
        <v>103.42400639810727</v>
      </c>
      <c r="H388" s="307">
        <f t="shared" ca="1" si="157"/>
        <v>272.74193619212161</v>
      </c>
      <c r="I388" s="304">
        <f t="shared" ca="1" si="158"/>
        <v>291.69279877512071</v>
      </c>
      <c r="J388" s="306">
        <f t="shared" ca="1" si="159"/>
        <v>178.36074828637501</v>
      </c>
      <c r="K388" s="307">
        <f t="shared" ca="1" si="160"/>
        <v>502.24926044535664</v>
      </c>
      <c r="L388" s="304">
        <f t="shared" ref="L388:L451" ca="1" si="174">SQRT(pos_x^2+pos_z^2)</f>
        <v>532.9792455126028</v>
      </c>
      <c r="M388" s="306">
        <f t="shared" ca="1" si="161"/>
        <v>1.2083477118728823</v>
      </c>
      <c r="N388" s="304">
        <f t="shared" ca="1" si="162"/>
        <v>69.233224074606184</v>
      </c>
      <c r="P388" s="310">
        <f t="shared" ca="1" si="163"/>
        <v>13</v>
      </c>
      <c r="Q388" s="304">
        <f t="shared" ca="1" si="164"/>
        <v>2278.6692541436432</v>
      </c>
      <c r="R388" s="306">
        <f t="shared" ca="1" si="165"/>
        <v>1.3703327556331331</v>
      </c>
      <c r="S388" s="307">
        <f t="shared" ca="1" si="166"/>
        <v>19.039345986291824</v>
      </c>
      <c r="T388" s="304">
        <f t="shared" ref="T388:T451" ca="1" si="175">m*g</f>
        <v>186.7759841255228</v>
      </c>
      <c r="U388" s="311">
        <f t="shared" ref="U388:U451" ca="1" si="176">IF(pos_xz&lt;L_rampe,Poids*COS(Beta),0)</f>
        <v>0</v>
      </c>
      <c r="V388" s="306">
        <f t="shared" ref="V388:V451" ca="1" si="177">Rho_moyen*(20000-Alt_rampe-pos_z)/(20000+Alt_rampe+pos_z)</f>
        <v>1.1649816735978755</v>
      </c>
      <c r="W388" s="304">
        <f t="shared" ref="W388:W451" ca="1" si="178">1/2*Rho*Sref*Cx*vit_xz^2</f>
        <v>577.8261158069605</v>
      </c>
      <c r="Y388" s="314" t="str">
        <f t="shared" ca="1" si="167"/>
        <v/>
      </c>
      <c r="Z388" s="315" t="str">
        <f t="shared" ca="1" si="168"/>
        <v/>
      </c>
      <c r="AA388" s="316" t="str">
        <f t="shared" ca="1" si="169"/>
        <v/>
      </c>
      <c r="AC388" s="310" t="e">
        <f t="shared" ca="1" si="170"/>
        <v>#N/A</v>
      </c>
      <c r="AD388" s="323" t="e">
        <f t="shared" ca="1" si="171"/>
        <v>#N/A</v>
      </c>
      <c r="AE388" s="324">
        <f t="shared" ref="AE388:AE451" ca="1" si="179">IF(t&lt;T_para, pos_z, NA())</f>
        <v>502.24926044535664</v>
      </c>
      <c r="AG388" s="306">
        <f t="shared" ca="1" si="172"/>
        <v>80.318670046102483</v>
      </c>
      <c r="AH388" s="304">
        <f t="shared" ca="1" si="173"/>
        <v>89.491742993460448</v>
      </c>
    </row>
    <row r="389" spans="1:34" x14ac:dyDescent="0.2">
      <c r="A389" s="347">
        <f t="shared" ref="A389:A452" ca="1" si="180">IF(B388+0.01&lt;=T_ini+ROUNDUP(Temps_fin_propu,0), 0.01, IF(K388&gt;0, 0.1, 0.0001))</f>
        <v>0.01</v>
      </c>
      <c r="B389" s="304">
        <f t="shared" ref="B389:B452" ca="1" si="181">B388+pas</f>
        <v>3.8499999999999619</v>
      </c>
      <c r="D389" s="306">
        <f t="shared" ref="D389:D452" ca="1" si="182">IF(AND(L388&lt;L_rampe,Poussee&lt;Poids*SIN(M388)),0,(-W388+Poussee)/m*COS(M388)-U388/m*SIN(M388))</f>
        <v>31.712861321151479</v>
      </c>
      <c r="E389" s="307">
        <f t="shared" ref="E389:E452" ca="1" si="183">IF(AND(L388&lt;L_rampe,Poussee&lt;Poids*SIN(M388)),0,(-W388+Poussee)/m*SIN(M388)+U388/m*COS(M388)-Poids/m)</f>
        <v>73.820749766442887</v>
      </c>
      <c r="F389" s="304">
        <f t="shared" ref="F389:F452" ca="1" si="184">SQRT(acc_x^2+acc_z^2)</f>
        <v>80.344313235314686</v>
      </c>
      <c r="G389" s="306">
        <f t="shared" ref="G389:G452" ca="1" si="185">G388+acc_x*pas</f>
        <v>103.74113501131878</v>
      </c>
      <c r="H389" s="307">
        <f t="shared" ref="H389:H452" ca="1" si="186">H388+acc_z*pas</f>
        <v>273.48014368978602</v>
      </c>
      <c r="I389" s="304">
        <f t="shared" ref="I389:I452" ca="1" si="187">SQRT(vit_x^2+vit_z^2)</f>
        <v>292.49549071057947</v>
      </c>
      <c r="J389" s="306">
        <f t="shared" ref="J389:J452" ca="1" si="188">J388+0.5*(vit_x+G388)*pas*(K388&gt;=0)</f>
        <v>179.39657399342215</v>
      </c>
      <c r="K389" s="307">
        <f t="shared" ref="K389:K452" ca="1" si="189">K388+0.5*(vit_z+H388)*pas</f>
        <v>504.98037084476618</v>
      </c>
      <c r="L389" s="304">
        <f t="shared" ca="1" si="174"/>
        <v>535.89952948206155</v>
      </c>
      <c r="M389" s="306">
        <f t="shared" ref="M389:M452" ca="1" si="190">IF(AND(L388&gt;L_rampe,G389&gt;0),ATAN2(G389,H389),$M$4)</f>
        <v>1.2082287944515815</v>
      </c>
      <c r="N389" s="304">
        <f t="shared" ref="N389:N452" ca="1" si="191">DEGREES(Beta)</f>
        <v>69.22641060825508</v>
      </c>
      <c r="P389" s="310">
        <f t="shared" ref="P389:P452" ca="1" si="192">MATCH(t-pas/2-T_ini,CdP_t)</f>
        <v>13</v>
      </c>
      <c r="Q389" s="304">
        <f t="shared" ref="Q389:Q452" ca="1" si="193">(INDEX(CdP,2,i_P+1)-INDEX(CdP,2,i_P+0))/(INDEX(CdP,1,i_P+1)-INDEX(CdP,1,i_P+0))*(t-pas/2-T_ini-INDEX(CdP,1,i_P+0))+INDEX(CdP,2,i_P+0)</f>
        <v>2279.5104419889467</v>
      </c>
      <c r="R389" s="306">
        <f t="shared" ref="R389:R452" ca="1" si="194">Poussee/(g*ISP)</f>
        <v>1.3708386242474411</v>
      </c>
      <c r="S389" s="307">
        <f t="shared" ref="S389:S452" ca="1" si="195">S388-Débit*pas</f>
        <v>19.02563760004935</v>
      </c>
      <c r="T389" s="304">
        <f t="shared" ca="1" si="175"/>
        <v>186.64150485648415</v>
      </c>
      <c r="U389" s="311">
        <f t="shared" ca="1" si="176"/>
        <v>0</v>
      </c>
      <c r="V389" s="306">
        <f t="shared" ca="1" si="177"/>
        <v>1.164663345870411</v>
      </c>
      <c r="W389" s="304">
        <f t="shared" ca="1" si="178"/>
        <v>580.85190218889204</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f t="shared" ca="1" si="179"/>
        <v>504.98037084476618</v>
      </c>
      <c r="AG389" s="306">
        <f t="shared" ref="AG389:AG452" ca="1" si="201">IF(AND(L388&lt;L_rampe,Poussee&lt;Poids*SIN(M388)),0,(-W388+Poussee)/m-Poids*SIN(M388)/m)</f>
        <v>80.26898673177611</v>
      </c>
      <c r="AH389" s="304">
        <f t="shared" ref="AH389:AH452" ca="1" si="202">IF(AND(L388&lt;L_rampe,Poussee&lt;Poids*SIN(M388)), g*SIN(M388), (-W388+Poussee)/m)</f>
        <v>89.441645108260246</v>
      </c>
    </row>
    <row r="390" spans="1:34" x14ac:dyDescent="0.2">
      <c r="A390" s="347">
        <f t="shared" ca="1" si="180"/>
        <v>0.01</v>
      </c>
      <c r="B390" s="304">
        <f t="shared" ca="1" si="181"/>
        <v>3.8599999999999617</v>
      </c>
      <c r="D390" s="306">
        <f t="shared" ca="1" si="182"/>
        <v>31.704933480059278</v>
      </c>
      <c r="E390" s="307">
        <f t="shared" ca="1" si="183"/>
        <v>73.769862152613811</v>
      </c>
      <c r="F390" s="304">
        <f t="shared" ca="1" si="184"/>
        <v>80.294429252536744</v>
      </c>
      <c r="G390" s="306">
        <f t="shared" ca="1" si="185"/>
        <v>104.05818434611936</v>
      </c>
      <c r="H390" s="307">
        <f t="shared" ca="1" si="186"/>
        <v>274.21784231131215</v>
      </c>
      <c r="I390" s="304">
        <f t="shared" ca="1" si="187"/>
        <v>293.29768286040485</v>
      </c>
      <c r="J390" s="306">
        <f t="shared" ca="1" si="188"/>
        <v>180.43557059020935</v>
      </c>
      <c r="K390" s="307">
        <f t="shared" ca="1" si="189"/>
        <v>507.71886077477166</v>
      </c>
      <c r="L390" s="304">
        <f t="shared" ca="1" si="174"/>
        <v>538.82783588141251</v>
      </c>
      <c r="M390" s="306">
        <f t="shared" ca="1" si="190"/>
        <v>1.2081101650890833</v>
      </c>
      <c r="N390" s="304">
        <f t="shared" ca="1" si="191"/>
        <v>69.219613646457603</v>
      </c>
      <c r="P390" s="310">
        <f t="shared" ca="1" si="192"/>
        <v>13</v>
      </c>
      <c r="Q390" s="304">
        <f t="shared" ca="1" si="193"/>
        <v>2280.3516298342506</v>
      </c>
      <c r="R390" s="306">
        <f t="shared" ca="1" si="194"/>
        <v>1.3713444928617493</v>
      </c>
      <c r="S390" s="307">
        <f t="shared" ca="1" si="195"/>
        <v>19.011924155120735</v>
      </c>
      <c r="T390" s="304">
        <f t="shared" ca="1" si="175"/>
        <v>186.50697596173441</v>
      </c>
      <c r="U390" s="311">
        <f t="shared" ca="1" si="176"/>
        <v>0</v>
      </c>
      <c r="V390" s="306">
        <f t="shared" ca="1" si="177"/>
        <v>1.1643442431436184</v>
      </c>
      <c r="W390" s="304">
        <f t="shared" ca="1" si="178"/>
        <v>583.88231623551076</v>
      </c>
      <c r="Y390" s="314" t="str">
        <f t="shared" ca="1" si="196"/>
        <v/>
      </c>
      <c r="Z390" s="315" t="str">
        <f t="shared" ca="1" si="197"/>
        <v/>
      </c>
      <c r="AA390" s="316" t="str">
        <f t="shared" ca="1" si="198"/>
        <v/>
      </c>
      <c r="AC390" s="310" t="e">
        <f t="shared" ca="1" si="199"/>
        <v>#N/A</v>
      </c>
      <c r="AD390" s="323" t="e">
        <f t="shared" ca="1" si="200"/>
        <v>#N/A</v>
      </c>
      <c r="AE390" s="324">
        <f t="shared" ca="1" si="179"/>
        <v>507.71886077477166</v>
      </c>
      <c r="AG390" s="306">
        <f t="shared" ca="1" si="201"/>
        <v>80.219008604714759</v>
      </c>
      <c r="AH390" s="304">
        <f t="shared" ca="1" si="202"/>
        <v>89.391253288142849</v>
      </c>
    </row>
    <row r="391" spans="1:34" x14ac:dyDescent="0.2">
      <c r="A391" s="347">
        <f t="shared" ca="1" si="180"/>
        <v>0.01</v>
      </c>
      <c r="B391" s="304">
        <f t="shared" ca="1" si="181"/>
        <v>3.8699999999999615</v>
      </c>
      <c r="D391" s="306">
        <f t="shared" ca="1" si="182"/>
        <v>31.696866132842388</v>
      </c>
      <c r="E391" s="307">
        <f t="shared" ca="1" si="183"/>
        <v>73.718713225166795</v>
      </c>
      <c r="F391" s="304">
        <f t="shared" ca="1" si="184"/>
        <v>80.244252144422859</v>
      </c>
      <c r="G391" s="306">
        <f t="shared" ca="1" si="185"/>
        <v>104.37515300744778</v>
      </c>
      <c r="H391" s="307">
        <f t="shared" ca="1" si="186"/>
        <v>274.95502944356383</v>
      </c>
      <c r="I391" s="304">
        <f t="shared" ca="1" si="187"/>
        <v>294.0993722904542</v>
      </c>
      <c r="J391" s="306">
        <f t="shared" ca="1" si="188"/>
        <v>181.47773727697719</v>
      </c>
      <c r="K391" s="307">
        <f t="shared" ca="1" si="189"/>
        <v>510.46472513354604</v>
      </c>
      <c r="L391" s="304">
        <f t="shared" ca="1" si="174"/>
        <v>541.76415969759228</v>
      </c>
      <c r="M391" s="306">
        <f t="shared" ca="1" si="190"/>
        <v>1.2079918221031769</v>
      </c>
      <c r="N391" s="304">
        <f t="shared" ca="1" si="191"/>
        <v>69.212833092830195</v>
      </c>
      <c r="P391" s="310">
        <f t="shared" ca="1" si="192"/>
        <v>13</v>
      </c>
      <c r="Q391" s="304">
        <f t="shared" ca="1" si="193"/>
        <v>2281.1928176795545</v>
      </c>
      <c r="R391" s="306">
        <f t="shared" ca="1" si="194"/>
        <v>1.3718503614760575</v>
      </c>
      <c r="S391" s="307">
        <f t="shared" ca="1" si="195"/>
        <v>18.998205651505973</v>
      </c>
      <c r="T391" s="304">
        <f t="shared" ca="1" si="175"/>
        <v>186.37239744127362</v>
      </c>
      <c r="U391" s="311">
        <f t="shared" ca="1" si="176"/>
        <v>0</v>
      </c>
      <c r="V391" s="306">
        <f t="shared" ca="1" si="177"/>
        <v>1.1640243666666097</v>
      </c>
      <c r="W391" s="304">
        <f t="shared" ca="1" si="178"/>
        <v>586.91731861832977</v>
      </c>
      <c r="Y391" s="314" t="str">
        <f t="shared" ca="1" si="196"/>
        <v/>
      </c>
      <c r="Z391" s="315" t="str">
        <f t="shared" ca="1" si="197"/>
        <v/>
      </c>
      <c r="AA391" s="316" t="str">
        <f t="shared" ca="1" si="198"/>
        <v/>
      </c>
      <c r="AC391" s="310" t="e">
        <f t="shared" ca="1" si="199"/>
        <v>#N/A</v>
      </c>
      <c r="AD391" s="323" t="e">
        <f t="shared" ca="1" si="200"/>
        <v>#N/A</v>
      </c>
      <c r="AE391" s="324">
        <f t="shared" ca="1" si="179"/>
        <v>510.46472513354604</v>
      </c>
      <c r="AG391" s="306">
        <f t="shared" ca="1" si="201"/>
        <v>80.168737060934703</v>
      </c>
      <c r="AH391" s="304">
        <f t="shared" ca="1" si="202"/>
        <v>89.340568924176239</v>
      </c>
    </row>
    <row r="392" spans="1:34" x14ac:dyDescent="0.2">
      <c r="A392" s="347">
        <f t="shared" ca="1" si="180"/>
        <v>0.01</v>
      </c>
      <c r="B392" s="304">
        <f t="shared" ca="1" si="181"/>
        <v>3.8799999999999613</v>
      </c>
      <c r="D392" s="306">
        <f t="shared" ca="1" si="182"/>
        <v>31.688659863164244</v>
      </c>
      <c r="E392" s="307">
        <f t="shared" ca="1" si="183"/>
        <v>73.667304268782104</v>
      </c>
      <c r="F392" s="304">
        <f t="shared" ca="1" si="184"/>
        <v>80.193783313624991</v>
      </c>
      <c r="G392" s="306">
        <f t="shared" ca="1" si="185"/>
        <v>104.69203960607942</v>
      </c>
      <c r="H392" s="307">
        <f t="shared" ca="1" si="186"/>
        <v>275.69170248625164</v>
      </c>
      <c r="I392" s="304">
        <f t="shared" ca="1" si="187"/>
        <v>294.90055608060288</v>
      </c>
      <c r="J392" s="306">
        <f t="shared" ca="1" si="188"/>
        <v>182.52307324004482</v>
      </c>
      <c r="K392" s="307">
        <f t="shared" ca="1" si="189"/>
        <v>513.21795879319507</v>
      </c>
      <c r="L392" s="304">
        <f t="shared" ca="1" si="174"/>
        <v>544.70849588825433</v>
      </c>
      <c r="M392" s="306">
        <f t="shared" ca="1" si="190"/>
        <v>1.2078737638251309</v>
      </c>
      <c r="N392" s="304">
        <f t="shared" ca="1" si="191"/>
        <v>69.206068851761572</v>
      </c>
      <c r="P392" s="310">
        <f t="shared" ca="1" si="192"/>
        <v>13</v>
      </c>
      <c r="Q392" s="304">
        <f t="shared" ca="1" si="193"/>
        <v>2282.0340055248585</v>
      </c>
      <c r="R392" s="306">
        <f t="shared" ca="1" si="194"/>
        <v>1.3723562300903658</v>
      </c>
      <c r="S392" s="307">
        <f t="shared" ca="1" si="195"/>
        <v>18.98448208920507</v>
      </c>
      <c r="T392" s="304">
        <f t="shared" ca="1" si="175"/>
        <v>186.23776929510174</v>
      </c>
      <c r="U392" s="311">
        <f t="shared" ca="1" si="176"/>
        <v>0</v>
      </c>
      <c r="V392" s="306">
        <f t="shared" ca="1" si="177"/>
        <v>1.1637037176922143</v>
      </c>
      <c r="W392" s="304">
        <f t="shared" ca="1" si="178"/>
        <v>589.95686996707343</v>
      </c>
      <c r="Y392" s="314" t="str">
        <f t="shared" ca="1" si="196"/>
        <v/>
      </c>
      <c r="Z392" s="315" t="str">
        <f t="shared" ca="1" si="197"/>
        <v/>
      </c>
      <c r="AA392" s="316" t="str">
        <f t="shared" ca="1" si="198"/>
        <v/>
      </c>
      <c r="AC392" s="310" t="e">
        <f t="shared" ca="1" si="199"/>
        <v>#N/A</v>
      </c>
      <c r="AD392" s="323" t="e">
        <f t="shared" ca="1" si="200"/>
        <v>#N/A</v>
      </c>
      <c r="AE392" s="324">
        <f t="shared" ca="1" si="179"/>
        <v>513.21795879319507</v>
      </c>
      <c r="AG392" s="306">
        <f t="shared" ca="1" si="201"/>
        <v>80.118173502250912</v>
      </c>
      <c r="AH392" s="304">
        <f t="shared" ca="1" si="202"/>
        <v>89.289593413264811</v>
      </c>
    </row>
    <row r="393" spans="1:34" x14ac:dyDescent="0.2">
      <c r="A393" s="347">
        <f t="shared" ca="1" si="180"/>
        <v>0.01</v>
      </c>
      <c r="B393" s="304">
        <f t="shared" ca="1" si="181"/>
        <v>3.889999999999961</v>
      </c>
      <c r="D393" s="306">
        <f t="shared" ca="1" si="182"/>
        <v>31.680315256352671</v>
      </c>
      <c r="E393" s="307">
        <f t="shared" ca="1" si="183"/>
        <v>73.615636573593491</v>
      </c>
      <c r="F393" s="304">
        <f t="shared" ca="1" si="184"/>
        <v>80.143024168528157</v>
      </c>
      <c r="G393" s="306">
        <f t="shared" ca="1" si="185"/>
        <v>105.00884275864294</v>
      </c>
      <c r="H393" s="307">
        <f t="shared" ca="1" si="186"/>
        <v>276.42785885198759</v>
      </c>
      <c r="I393" s="304">
        <f t="shared" ca="1" si="187"/>
        <v>295.70123132480154</v>
      </c>
      <c r="J393" s="306">
        <f t="shared" ca="1" si="188"/>
        <v>183.57157765186844</v>
      </c>
      <c r="K393" s="307">
        <f t="shared" ca="1" si="189"/>
        <v>515.97855659988625</v>
      </c>
      <c r="L393" s="304">
        <f t="shared" ca="1" si="174"/>
        <v>547.6608393819098</v>
      </c>
      <c r="M393" s="306">
        <f t="shared" ca="1" si="190"/>
        <v>1.2077559885995528</v>
      </c>
      <c r="N393" s="304">
        <f t="shared" ca="1" si="191"/>
        <v>69.199320828404751</v>
      </c>
      <c r="P393" s="310">
        <f t="shared" ca="1" si="192"/>
        <v>13</v>
      </c>
      <c r="Q393" s="304">
        <f t="shared" ca="1" si="193"/>
        <v>2282.8751933701624</v>
      </c>
      <c r="R393" s="306">
        <f t="shared" ca="1" si="194"/>
        <v>1.372862098704674</v>
      </c>
      <c r="S393" s="307">
        <f t="shared" ca="1" si="195"/>
        <v>18.970753468218025</v>
      </c>
      <c r="T393" s="304">
        <f t="shared" ca="1" si="175"/>
        <v>186.10309152321884</v>
      </c>
      <c r="U393" s="311">
        <f t="shared" ca="1" si="176"/>
        <v>0</v>
      </c>
      <c r="V393" s="306">
        <f t="shared" ca="1" si="177"/>
        <v>1.1633822974769561</v>
      </c>
      <c r="W393" s="304">
        <f t="shared" ca="1" si="178"/>
        <v>593.00093087125197</v>
      </c>
      <c r="Y393" s="314" t="str">
        <f t="shared" ca="1" si="196"/>
        <v/>
      </c>
      <c r="Z393" s="315" t="str">
        <f t="shared" ca="1" si="197"/>
        <v/>
      </c>
      <c r="AA393" s="316" t="str">
        <f t="shared" ca="1" si="198"/>
        <v/>
      </c>
      <c r="AC393" s="310" t="e">
        <f t="shared" ca="1" si="199"/>
        <v>#N/A</v>
      </c>
      <c r="AD393" s="323" t="e">
        <f t="shared" ca="1" si="200"/>
        <v>#N/A</v>
      </c>
      <c r="AE393" s="324">
        <f t="shared" ca="1" si="179"/>
        <v>515.97855659988625</v>
      </c>
      <c r="AG393" s="306">
        <f t="shared" ca="1" si="201"/>
        <v>80.067319336219441</v>
      </c>
      <c r="AH393" s="304">
        <f t="shared" ca="1" si="202"/>
        <v>89.238328158091306</v>
      </c>
    </row>
    <row r="394" spans="1:34" x14ac:dyDescent="0.2">
      <c r="A394" s="347">
        <f t="shared" ca="1" si="180"/>
        <v>0.01</v>
      </c>
      <c r="B394" s="304">
        <f t="shared" ca="1" si="181"/>
        <v>3.8999999999999608</v>
      </c>
      <c r="D394" s="306">
        <f t="shared" ca="1" si="182"/>
        <v>31.671832899389301</v>
      </c>
      <c r="E394" s="307">
        <f t="shared" ca="1" si="183"/>
        <v>73.563711435130841</v>
      </c>
      <c r="F394" s="304">
        <f t="shared" ca="1" si="184"/>
        <v>80.091976123192509</v>
      </c>
      <c r="G394" s="306">
        <f t="shared" ca="1" si="185"/>
        <v>105.32556108763683</v>
      </c>
      <c r="H394" s="307">
        <f t="shared" ca="1" si="186"/>
        <v>277.16349596633893</v>
      </c>
      <c r="I394" s="304">
        <f t="shared" ca="1" si="187"/>
        <v>296.50139513113305</v>
      </c>
      <c r="J394" s="306">
        <f t="shared" ca="1" si="188"/>
        <v>184.62324967109984</v>
      </c>
      <c r="K394" s="307">
        <f t="shared" ca="1" si="189"/>
        <v>518.7465133739779</v>
      </c>
      <c r="L394" s="304">
        <f t="shared" ca="1" si="174"/>
        <v>550.62118507806792</v>
      </c>
      <c r="M394" s="306">
        <f t="shared" ca="1" si="190"/>
        <v>1.2076384947842469</v>
      </c>
      <c r="N394" s="304">
        <f t="shared" ca="1" si="191"/>
        <v>69.192588928668826</v>
      </c>
      <c r="P394" s="310">
        <f t="shared" ca="1" si="192"/>
        <v>13</v>
      </c>
      <c r="Q394" s="304">
        <f t="shared" ca="1" si="193"/>
        <v>2283.7163812154663</v>
      </c>
      <c r="R394" s="306">
        <f t="shared" ca="1" si="194"/>
        <v>1.3733679673189823</v>
      </c>
      <c r="S394" s="307">
        <f t="shared" ca="1" si="195"/>
        <v>18.957019788544834</v>
      </c>
      <c r="T394" s="304">
        <f t="shared" ca="1" si="175"/>
        <v>185.96836412562482</v>
      </c>
      <c r="U394" s="311">
        <f t="shared" ca="1" si="176"/>
        <v>0</v>
      </c>
      <c r="V394" s="306">
        <f t="shared" ca="1" si="177"/>
        <v>1.163060107281024</v>
      </c>
      <c r="W394" s="304">
        <f t="shared" ca="1" si="178"/>
        <v>596.04946188173221</v>
      </c>
      <c r="Y394" s="314" t="str">
        <f t="shared" ca="1" si="196"/>
        <v/>
      </c>
      <c r="Z394" s="315" t="str">
        <f t="shared" ca="1" si="197"/>
        <v/>
      </c>
      <c r="AA394" s="316" t="str">
        <f t="shared" ca="1" si="198"/>
        <v/>
      </c>
      <c r="AC394" s="310" t="e">
        <f t="shared" ca="1" si="199"/>
        <v>#N/A</v>
      </c>
      <c r="AD394" s="323" t="e">
        <f t="shared" ca="1" si="200"/>
        <v>#N/A</v>
      </c>
      <c r="AE394" s="324">
        <f t="shared" ca="1" si="179"/>
        <v>518.7465133739779</v>
      </c>
      <c r="AG394" s="306">
        <f t="shared" ca="1" si="201"/>
        <v>80.01617597607941</v>
      </c>
      <c r="AH394" s="304">
        <f t="shared" ca="1" si="202"/>
        <v>89.186774567058464</v>
      </c>
    </row>
    <row r="395" spans="1:34" x14ac:dyDescent="0.2">
      <c r="A395" s="347">
        <f t="shared" ca="1" si="180"/>
        <v>0.01</v>
      </c>
      <c r="B395" s="304">
        <f t="shared" ca="1" si="181"/>
        <v>3.9099999999999606</v>
      </c>
      <c r="D395" s="306">
        <f t="shared" ca="1" si="182"/>
        <v>31.663213380899052</v>
      </c>
      <c r="E395" s="307">
        <f t="shared" ca="1" si="183"/>
        <v>73.511530154262459</v>
      </c>
      <c r="F395" s="304">
        <f t="shared" ca="1" si="184"/>
        <v>80.040640597295223</v>
      </c>
      <c r="G395" s="306">
        <f t="shared" ca="1" si="185"/>
        <v>105.64219322144582</v>
      </c>
      <c r="H395" s="307">
        <f t="shared" ca="1" si="186"/>
        <v>277.89861126788156</v>
      </c>
      <c r="I395" s="304">
        <f t="shared" ca="1" si="187"/>
        <v>297.30104462186881</v>
      </c>
      <c r="J395" s="306">
        <f t="shared" ca="1" si="188"/>
        <v>185.67808844264525</v>
      </c>
      <c r="K395" s="307">
        <f t="shared" ca="1" si="189"/>
        <v>521.52182391014901</v>
      </c>
      <c r="L395" s="304">
        <f t="shared" ca="1" si="174"/>
        <v>553.58952784737835</v>
      </c>
      <c r="M395" s="306">
        <f t="shared" ca="1" si="190"/>
        <v>1.2075212807500779</v>
      </c>
      <c r="N395" s="304">
        <f t="shared" ca="1" si="191"/>
        <v>69.185873059211247</v>
      </c>
      <c r="P395" s="310">
        <f t="shared" ca="1" si="192"/>
        <v>13</v>
      </c>
      <c r="Q395" s="304">
        <f t="shared" ca="1" si="193"/>
        <v>2284.5575690607702</v>
      </c>
      <c r="R395" s="306">
        <f t="shared" ca="1" si="194"/>
        <v>1.3738738359332905</v>
      </c>
      <c r="S395" s="307">
        <f t="shared" ca="1" si="195"/>
        <v>18.943281050185501</v>
      </c>
      <c r="T395" s="304">
        <f t="shared" ca="1" si="175"/>
        <v>185.83358710231977</v>
      </c>
      <c r="U395" s="311">
        <f t="shared" ca="1" si="176"/>
        <v>0</v>
      </c>
      <c r="V395" s="306">
        <f t="shared" ca="1" si="177"/>
        <v>1.1627371483682489</v>
      </c>
      <c r="W395" s="304">
        <f t="shared" ca="1" si="178"/>
        <v>599.10242351230988</v>
      </c>
      <c r="Y395" s="314" t="str">
        <f t="shared" ca="1" si="196"/>
        <v/>
      </c>
      <c r="Z395" s="315" t="str">
        <f t="shared" ca="1" si="197"/>
        <v/>
      </c>
      <c r="AA395" s="316" t="str">
        <f t="shared" ca="1" si="198"/>
        <v/>
      </c>
      <c r="AC395" s="310" t="e">
        <f t="shared" ca="1" si="199"/>
        <v>#N/A</v>
      </c>
      <c r="AD395" s="323" t="e">
        <f t="shared" ca="1" si="200"/>
        <v>#N/A</v>
      </c>
      <c r="AE395" s="324">
        <f t="shared" ca="1" si="179"/>
        <v>521.52182391014901</v>
      </c>
      <c r="AG395" s="306">
        <f t="shared" ca="1" si="201"/>
        <v>79.96474484069482</v>
      </c>
      <c r="AH395" s="304">
        <f t="shared" ca="1" si="202"/>
        <v>89.134934054230456</v>
      </c>
    </row>
    <row r="396" spans="1:34" x14ac:dyDescent="0.2">
      <c r="A396" s="347">
        <f t="shared" ca="1" si="180"/>
        <v>0.01</v>
      </c>
      <c r="B396" s="304">
        <f t="shared" ca="1" si="181"/>
        <v>3.9199999999999604</v>
      </c>
      <c r="D396" s="306">
        <f t="shared" ca="1" si="182"/>
        <v>31.65445729113906</v>
      </c>
      <c r="E396" s="307">
        <f t="shared" ca="1" si="183"/>
        <v>73.459094037137433</v>
      </c>
      <c r="F396" s="304">
        <f t="shared" ca="1" si="184"/>
        <v>79.98901901607212</v>
      </c>
      <c r="G396" s="306">
        <f t="shared" ca="1" si="185"/>
        <v>105.95873779435722</v>
      </c>
      <c r="H396" s="307">
        <f t="shared" ca="1" si="186"/>
        <v>278.63320220825295</v>
      </c>
      <c r="I396" s="304">
        <f t="shared" ca="1" si="187"/>
        <v>298.10017693352432</v>
      </c>
      <c r="J396" s="306">
        <f t="shared" ca="1" si="188"/>
        <v>186.73609309772425</v>
      </c>
      <c r="K396" s="307">
        <f t="shared" ca="1" si="189"/>
        <v>524.30448297752969</v>
      </c>
      <c r="L396" s="304">
        <f t="shared" ca="1" si="174"/>
        <v>556.56586253177318</v>
      </c>
      <c r="M396" s="306">
        <f t="shared" ca="1" si="190"/>
        <v>1.2074043448808329</v>
      </c>
      <c r="N396" s="304">
        <f t="shared" ca="1" si="191"/>
        <v>69.179173127429806</v>
      </c>
      <c r="P396" s="310">
        <f t="shared" ca="1" si="192"/>
        <v>13</v>
      </c>
      <c r="Q396" s="304">
        <f t="shared" ca="1" si="193"/>
        <v>2285.3987569060737</v>
      </c>
      <c r="R396" s="306">
        <f t="shared" ca="1" si="194"/>
        <v>1.3743797045475983</v>
      </c>
      <c r="S396" s="307">
        <f t="shared" ca="1" si="195"/>
        <v>18.929537253140026</v>
      </c>
      <c r="T396" s="304">
        <f t="shared" ca="1" si="175"/>
        <v>185.69876045330366</v>
      </c>
      <c r="U396" s="311">
        <f t="shared" ca="1" si="176"/>
        <v>0</v>
      </c>
      <c r="V396" s="306">
        <f t="shared" ca="1" si="177"/>
        <v>1.1624134220060747</v>
      </c>
      <c r="W396" s="304">
        <f t="shared" ca="1" si="178"/>
        <v>602.15977624127845</v>
      </c>
      <c r="Y396" s="314" t="str">
        <f t="shared" ca="1" si="196"/>
        <v/>
      </c>
      <c r="Z396" s="315" t="str">
        <f t="shared" ca="1" si="197"/>
        <v/>
      </c>
      <c r="AA396" s="316" t="str">
        <f t="shared" ca="1" si="198"/>
        <v/>
      </c>
      <c r="AC396" s="310" t="e">
        <f t="shared" ca="1" si="199"/>
        <v>#N/A</v>
      </c>
      <c r="AD396" s="323" t="e">
        <f t="shared" ca="1" si="200"/>
        <v>#N/A</v>
      </c>
      <c r="AE396" s="324">
        <f t="shared" ca="1" si="179"/>
        <v>524.30448297752969</v>
      </c>
      <c r="AG396" s="306">
        <f t="shared" ca="1" si="201"/>
        <v>79.913027354496307</v>
      </c>
      <c r="AH396" s="304">
        <f t="shared" ca="1" si="202"/>
        <v>89.082808039274255</v>
      </c>
    </row>
    <row r="397" spans="1:34" x14ac:dyDescent="0.2">
      <c r="A397" s="347">
        <f t="shared" ca="1" si="180"/>
        <v>0.01</v>
      </c>
      <c r="B397" s="304">
        <f t="shared" ca="1" si="181"/>
        <v>3.9299999999999602</v>
      </c>
      <c r="D397" s="306">
        <f t="shared" ca="1" si="182"/>
        <v>31.645565221987752</v>
      </c>
      <c r="E397" s="307">
        <f t="shared" ca="1" si="183"/>
        <v>73.40640439512805</v>
      </c>
      <c r="F397" s="304">
        <f t="shared" ca="1" si="184"/>
        <v>79.937112810259507</v>
      </c>
      <c r="G397" s="306">
        <f t="shared" ca="1" si="185"/>
        <v>106.27519344657709</v>
      </c>
      <c r="H397" s="307">
        <f t="shared" ca="1" si="186"/>
        <v>279.36726625220422</v>
      </c>
      <c r="I397" s="304">
        <f t="shared" ca="1" si="187"/>
        <v>298.89878921691428</v>
      </c>
      <c r="J397" s="306">
        <f t="shared" ca="1" si="188"/>
        <v>187.79726275392892</v>
      </c>
      <c r="K397" s="307">
        <f t="shared" ca="1" si="189"/>
        <v>527.09448531983196</v>
      </c>
      <c r="L397" s="304">
        <f t="shared" ca="1" si="174"/>
        <v>559.5501839446099</v>
      </c>
      <c r="M397" s="306">
        <f t="shared" ca="1" si="190"/>
        <v>1.2072876855730883</v>
      </c>
      <c r="N397" s="304">
        <f t="shared" ca="1" si="191"/>
        <v>69.172489041455123</v>
      </c>
      <c r="P397" s="310">
        <f t="shared" ca="1" si="192"/>
        <v>13</v>
      </c>
      <c r="Q397" s="304">
        <f t="shared" ca="1" si="193"/>
        <v>2286.2399447513776</v>
      </c>
      <c r="R397" s="306">
        <f t="shared" ca="1" si="194"/>
        <v>1.3748855731619065</v>
      </c>
      <c r="S397" s="307">
        <f t="shared" ca="1" si="195"/>
        <v>18.915788397408406</v>
      </c>
      <c r="T397" s="304">
        <f t="shared" ca="1" si="175"/>
        <v>185.56388417857647</v>
      </c>
      <c r="U397" s="311">
        <f t="shared" ca="1" si="176"/>
        <v>0</v>
      </c>
      <c r="V397" s="306">
        <f t="shared" ca="1" si="177"/>
        <v>1.162088929465535</v>
      </c>
      <c r="W397" s="304">
        <f t="shared" ca="1" si="178"/>
        <v>605.22148051299769</v>
      </c>
      <c r="Y397" s="314" t="str">
        <f t="shared" ca="1" si="196"/>
        <v/>
      </c>
      <c r="Z397" s="315" t="str">
        <f t="shared" ca="1" si="197"/>
        <v/>
      </c>
      <c r="AA397" s="316" t="str">
        <f t="shared" ca="1" si="198"/>
        <v/>
      </c>
      <c r="AC397" s="310" t="e">
        <f t="shared" ca="1" si="199"/>
        <v>#N/A</v>
      </c>
      <c r="AD397" s="323" t="e">
        <f t="shared" ca="1" si="200"/>
        <v>#N/A</v>
      </c>
      <c r="AE397" s="324">
        <f t="shared" ca="1" si="179"/>
        <v>527.09448531983196</v>
      </c>
      <c r="AG397" s="306">
        <f t="shared" ca="1" si="201"/>
        <v>79.861024947422763</v>
      </c>
      <c r="AH397" s="304">
        <f t="shared" ca="1" si="202"/>
        <v>89.0303979474009</v>
      </c>
    </row>
    <row r="398" spans="1:34" x14ac:dyDescent="0.2">
      <c r="A398" s="347">
        <f t="shared" ca="1" si="180"/>
        <v>0.01</v>
      </c>
      <c r="B398" s="304">
        <f t="shared" ca="1" si="181"/>
        <v>3.93999999999996</v>
      </c>
      <c r="D398" s="306">
        <f t="shared" ca="1" si="182"/>
        <v>31.636537766933273</v>
      </c>
      <c r="E398" s="307">
        <f t="shared" ca="1" si="183"/>
        <v>73.353462544771517</v>
      </c>
      <c r="F398" s="304">
        <f t="shared" ca="1" si="184"/>
        <v>79.884923416035093</v>
      </c>
      <c r="G398" s="306">
        <f t="shared" ca="1" si="185"/>
        <v>106.59155882424642</v>
      </c>
      <c r="H398" s="307">
        <f t="shared" ca="1" si="186"/>
        <v>280.10080087765192</v>
      </c>
      <c r="I398" s="304">
        <f t="shared" ca="1" si="187"/>
        <v>299.69687863720702</v>
      </c>
      <c r="J398" s="306">
        <f t="shared" ca="1" si="188"/>
        <v>188.86159651528303</v>
      </c>
      <c r="K398" s="307">
        <f t="shared" ca="1" si="189"/>
        <v>529.89182565548128</v>
      </c>
      <c r="L398" s="304">
        <f t="shared" ca="1" si="174"/>
        <v>562.54248687081451</v>
      </c>
      <c r="M398" s="306">
        <f t="shared" ca="1" si="190"/>
        <v>1.2071713012360747</v>
      </c>
      <c r="N398" s="304">
        <f t="shared" ca="1" si="191"/>
        <v>69.165820710142825</v>
      </c>
      <c r="P398" s="310">
        <f t="shared" ca="1" si="192"/>
        <v>13</v>
      </c>
      <c r="Q398" s="304">
        <f t="shared" ca="1" si="193"/>
        <v>2287.0811325966815</v>
      </c>
      <c r="R398" s="306">
        <f t="shared" ca="1" si="194"/>
        <v>1.3753914417762148</v>
      </c>
      <c r="S398" s="307">
        <f t="shared" ca="1" si="195"/>
        <v>18.902034482990643</v>
      </c>
      <c r="T398" s="304">
        <f t="shared" ca="1" si="175"/>
        <v>185.42895827813823</v>
      </c>
      <c r="U398" s="311">
        <f t="shared" ca="1" si="176"/>
        <v>0</v>
      </c>
      <c r="V398" s="306">
        <f t="shared" ca="1" si="177"/>
        <v>1.1617636720212245</v>
      </c>
      <c r="W398" s="304">
        <f t="shared" ca="1" si="178"/>
        <v>608.28749673946027</v>
      </c>
      <c r="Y398" s="314" t="str">
        <f t="shared" ca="1" si="196"/>
        <v/>
      </c>
      <c r="Z398" s="315" t="str">
        <f t="shared" ca="1" si="197"/>
        <v/>
      </c>
      <c r="AA398" s="316" t="str">
        <f t="shared" ca="1" si="198"/>
        <v/>
      </c>
      <c r="AC398" s="310" t="e">
        <f t="shared" ca="1" si="199"/>
        <v>#N/A</v>
      </c>
      <c r="AD398" s="323" t="e">
        <f t="shared" ca="1" si="200"/>
        <v>#N/A</v>
      </c>
      <c r="AE398" s="324">
        <f t="shared" ca="1" si="179"/>
        <v>529.89182565548128</v>
      </c>
      <c r="AG398" s="306">
        <f t="shared" ca="1" si="201"/>
        <v>79.808739054862471</v>
      </c>
      <c r="AH398" s="304">
        <f t="shared" ca="1" si="202"/>
        <v>88.977705209306293</v>
      </c>
    </row>
    <row r="399" spans="1:34" x14ac:dyDescent="0.2">
      <c r="A399" s="347">
        <f t="shared" ca="1" si="180"/>
        <v>0.01</v>
      </c>
      <c r="B399" s="304">
        <f t="shared" ca="1" si="181"/>
        <v>3.9499999999999598</v>
      </c>
      <c r="D399" s="306">
        <f t="shared" ca="1" si="182"/>
        <v>31.627375521062184</v>
      </c>
      <c r="E399" s="307">
        <f t="shared" ca="1" si="183"/>
        <v>73.30026980771234</v>
      </c>
      <c r="F399" s="304">
        <f t="shared" ca="1" si="184"/>
        <v>79.832452274959635</v>
      </c>
      <c r="G399" s="306">
        <f t="shared" ca="1" si="185"/>
        <v>106.90783257945704</v>
      </c>
      <c r="H399" s="307">
        <f t="shared" ca="1" si="186"/>
        <v>280.83380357572906</v>
      </c>
      <c r="I399" s="304">
        <f t="shared" ca="1" si="187"/>
        <v>300.49444237397864</v>
      </c>
      <c r="J399" s="306">
        <f t="shared" ca="1" si="188"/>
        <v>189.92909347230153</v>
      </c>
      <c r="K399" s="307">
        <f t="shared" ca="1" si="189"/>
        <v>532.6964986777482</v>
      </c>
      <c r="L399" s="304">
        <f t="shared" ca="1" si="174"/>
        <v>565.54276606702558</v>
      </c>
      <c r="M399" s="306">
        <f t="shared" ca="1" si="190"/>
        <v>1.2070551902915481</v>
      </c>
      <c r="N399" s="304">
        <f t="shared" ca="1" si="191"/>
        <v>69.15916804306616</v>
      </c>
      <c r="P399" s="310">
        <f t="shared" ca="1" si="192"/>
        <v>13</v>
      </c>
      <c r="Q399" s="304">
        <f t="shared" ca="1" si="193"/>
        <v>2287.9223204419854</v>
      </c>
      <c r="R399" s="306">
        <f t="shared" ca="1" si="194"/>
        <v>1.375897310390523</v>
      </c>
      <c r="S399" s="307">
        <f t="shared" ca="1" si="195"/>
        <v>18.888275509886739</v>
      </c>
      <c r="T399" s="304">
        <f t="shared" ca="1" si="175"/>
        <v>185.29398275198892</v>
      </c>
      <c r="U399" s="311">
        <f t="shared" ca="1" si="176"/>
        <v>0</v>
      </c>
      <c r="V399" s="306">
        <f t="shared" ca="1" si="177"/>
        <v>1.1614376509512754</v>
      </c>
      <c r="W399" s="304">
        <f t="shared" ca="1" si="178"/>
        <v>611.35778530185928</v>
      </c>
      <c r="Y399" s="314" t="str">
        <f t="shared" ca="1" si="196"/>
        <v/>
      </c>
      <c r="Z399" s="315" t="str">
        <f t="shared" ca="1" si="197"/>
        <v/>
      </c>
      <c r="AA399" s="316" t="str">
        <f t="shared" ca="1" si="198"/>
        <v/>
      </c>
      <c r="AC399" s="310" t="e">
        <f t="shared" ca="1" si="199"/>
        <v>#N/A</v>
      </c>
      <c r="AD399" s="323" t="e">
        <f t="shared" ca="1" si="200"/>
        <v>#N/A</v>
      </c>
      <c r="AE399" s="324">
        <f t="shared" ca="1" si="179"/>
        <v>532.6964986777482</v>
      </c>
      <c r="AG399" s="306">
        <f t="shared" ca="1" si="201"/>
        <v>79.756171117594477</v>
      </c>
      <c r="AH399" s="304">
        <f t="shared" ca="1" si="202"/>
        <v>88.9247312611122</v>
      </c>
    </row>
    <row r="400" spans="1:34" x14ac:dyDescent="0.2">
      <c r="A400" s="347">
        <f t="shared" ca="1" si="180"/>
        <v>0.01</v>
      </c>
      <c r="B400" s="304">
        <f t="shared" ca="1" si="181"/>
        <v>3.9599999999999596</v>
      </c>
      <c r="D400" s="306">
        <f t="shared" ca="1" si="182"/>
        <v>31.61807908104748</v>
      </c>
      <c r="E400" s="307">
        <f t="shared" ca="1" si="183"/>
        <v>73.246827510643882</v>
      </c>
      <c r="F400" s="304">
        <f t="shared" ca="1" si="184"/>
        <v>79.779700833917587</v>
      </c>
      <c r="G400" s="306">
        <f t="shared" ca="1" si="185"/>
        <v>107.22401337026751</v>
      </c>
      <c r="H400" s="307">
        <f t="shared" ca="1" si="186"/>
        <v>281.56627185083551</v>
      </c>
      <c r="I400" s="304">
        <f t="shared" ca="1" si="187"/>
        <v>301.29147762126615</v>
      </c>
      <c r="J400" s="306">
        <f t="shared" ca="1" si="188"/>
        <v>190.99975270205016</v>
      </c>
      <c r="K400" s="307">
        <f t="shared" ca="1" si="189"/>
        <v>535.50849905488099</v>
      </c>
      <c r="L400" s="304">
        <f t="shared" ca="1" si="174"/>
        <v>568.5510162617386</v>
      </c>
      <c r="M400" s="306">
        <f t="shared" ca="1" si="190"/>
        <v>1.2069393511736584</v>
      </c>
      <c r="N400" s="304">
        <f t="shared" ca="1" si="191"/>
        <v>69.152530950508563</v>
      </c>
      <c r="P400" s="310">
        <f t="shared" ca="1" si="192"/>
        <v>13</v>
      </c>
      <c r="Q400" s="304">
        <f t="shared" ca="1" si="193"/>
        <v>2288.7635082872894</v>
      </c>
      <c r="R400" s="306">
        <f t="shared" ca="1" si="194"/>
        <v>1.3764031790048312</v>
      </c>
      <c r="S400" s="307">
        <f t="shared" ca="1" si="195"/>
        <v>18.874511478096689</v>
      </c>
      <c r="T400" s="304">
        <f t="shared" ca="1" si="175"/>
        <v>185.15895760012853</v>
      </c>
      <c r="U400" s="311">
        <f t="shared" ca="1" si="176"/>
        <v>0</v>
      </c>
      <c r="V400" s="306">
        <f t="shared" ca="1" si="177"/>
        <v>1.1611108675373272</v>
      </c>
      <c r="W400" s="304">
        <f t="shared" ca="1" si="178"/>
        <v>614.43230655214927</v>
      </c>
      <c r="Y400" s="314" t="str">
        <f t="shared" ca="1" si="196"/>
        <v/>
      </c>
      <c r="Z400" s="315" t="str">
        <f t="shared" ca="1" si="197"/>
        <v/>
      </c>
      <c r="AA400" s="316" t="str">
        <f t="shared" ca="1" si="198"/>
        <v/>
      </c>
      <c r="AC400" s="310" t="e">
        <f t="shared" ca="1" si="199"/>
        <v>#N/A</v>
      </c>
      <c r="AD400" s="323" t="e">
        <f t="shared" ca="1" si="200"/>
        <v>#N/A</v>
      </c>
      <c r="AE400" s="324">
        <f t="shared" ca="1" si="179"/>
        <v>535.50849905488099</v>
      </c>
      <c r="AG400" s="306">
        <f t="shared" ca="1" si="201"/>
        <v>79.703322581729438</v>
      </c>
      <c r="AH400" s="304">
        <f t="shared" ca="1" si="202"/>
        <v>88.871477544306771</v>
      </c>
    </row>
    <row r="401" spans="1:34" x14ac:dyDescent="0.2">
      <c r="A401" s="347">
        <f t="shared" ca="1" si="180"/>
        <v>0.01</v>
      </c>
      <c r="B401" s="304">
        <f t="shared" ca="1" si="181"/>
        <v>3.9699999999999593</v>
      </c>
      <c r="D401" s="306">
        <f t="shared" ca="1" si="182"/>
        <v>31.608649045136769</v>
      </c>
      <c r="E401" s="307">
        <f t="shared" ca="1" si="183"/>
        <v>73.193136985250348</v>
      </c>
      <c r="F401" s="304">
        <f t="shared" ca="1" si="184"/>
        <v>79.726670545058184</v>
      </c>
      <c r="G401" s="306">
        <f t="shared" ca="1" si="185"/>
        <v>107.54009986071888</v>
      </c>
      <c r="H401" s="307">
        <f t="shared" ca="1" si="186"/>
        <v>282.29820322068798</v>
      </c>
      <c r="I401" s="304">
        <f t="shared" ca="1" si="187"/>
        <v>302.08798158761999</v>
      </c>
      <c r="J401" s="306">
        <f t="shared" ca="1" si="188"/>
        <v>192.07357326820508</v>
      </c>
      <c r="K401" s="307">
        <f t="shared" ca="1" si="189"/>
        <v>538.3278214302386</v>
      </c>
      <c r="L401" s="304">
        <f t="shared" ca="1" si="174"/>
        <v>571.56723215545117</v>
      </c>
      <c r="M401" s="306">
        <f t="shared" ca="1" si="190"/>
        <v>1.2068237823288233</v>
      </c>
      <c r="N401" s="304">
        <f t="shared" ca="1" si="191"/>
        <v>69.14590934345631</v>
      </c>
      <c r="P401" s="310">
        <f t="shared" ca="1" si="192"/>
        <v>13</v>
      </c>
      <c r="Q401" s="304">
        <f t="shared" ca="1" si="193"/>
        <v>2289.6046961325933</v>
      </c>
      <c r="R401" s="306">
        <f t="shared" ca="1" si="194"/>
        <v>1.3769090476191395</v>
      </c>
      <c r="S401" s="307">
        <f t="shared" ca="1" si="195"/>
        <v>18.860742387620498</v>
      </c>
      <c r="T401" s="304">
        <f t="shared" ca="1" si="175"/>
        <v>185.02388282255708</v>
      </c>
      <c r="U401" s="311">
        <f t="shared" ca="1" si="176"/>
        <v>0</v>
      </c>
      <c r="V401" s="306">
        <f t="shared" ca="1" si="177"/>
        <v>1.1607833230645046</v>
      </c>
      <c r="W401" s="304">
        <f t="shared" ca="1" si="178"/>
        <v>617.51102081460942</v>
      </c>
      <c r="Y401" s="314" t="str">
        <f t="shared" ca="1" si="196"/>
        <v/>
      </c>
      <c r="Z401" s="315" t="str">
        <f t="shared" ca="1" si="197"/>
        <v/>
      </c>
      <c r="AA401" s="316" t="str">
        <f t="shared" ca="1" si="198"/>
        <v/>
      </c>
      <c r="AC401" s="310" t="e">
        <f t="shared" ca="1" si="199"/>
        <v>#N/A</v>
      </c>
      <c r="AD401" s="323" t="e">
        <f t="shared" ca="1" si="200"/>
        <v>#N/A</v>
      </c>
      <c r="AE401" s="324">
        <f t="shared" ca="1" si="179"/>
        <v>538.3278214302386</v>
      </c>
      <c r="AG401" s="306">
        <f t="shared" ca="1" si="201"/>
        <v>79.650194898650639</v>
      </c>
      <c r="AH401" s="304">
        <f t="shared" ca="1" si="202"/>
        <v>88.817945505685174</v>
      </c>
    </row>
    <row r="402" spans="1:34" x14ac:dyDescent="0.2">
      <c r="A402" s="347">
        <f t="shared" ca="1" si="180"/>
        <v>0.01</v>
      </c>
      <c r="B402" s="304">
        <f t="shared" ca="1" si="181"/>
        <v>3.9799999999999591</v>
      </c>
      <c r="D402" s="306">
        <f t="shared" ca="1" si="182"/>
        <v>31.599086013140031</v>
      </c>
      <c r="E402" s="307">
        <f t="shared" ca="1" si="183"/>
        <v>73.139199568148598</v>
      </c>
      <c r="F402" s="304">
        <f t="shared" ca="1" si="184"/>
        <v>79.673362865736308</v>
      </c>
      <c r="G402" s="306">
        <f t="shared" ca="1" si="185"/>
        <v>107.85609072085029</v>
      </c>
      <c r="H402" s="307">
        <f t="shared" ca="1" si="186"/>
        <v>283.02959521636944</v>
      </c>
      <c r="I402" s="304">
        <f t="shared" ca="1" si="187"/>
        <v>302.88395149615673</v>
      </c>
      <c r="J402" s="306">
        <f t="shared" ca="1" si="188"/>
        <v>193.15055422111294</v>
      </c>
      <c r="K402" s="307">
        <f t="shared" ca="1" si="189"/>
        <v>541.15446042242388</v>
      </c>
      <c r="L402" s="304">
        <f t="shared" ca="1" si="174"/>
        <v>574.59140842080808</v>
      </c>
      <c r="M402" s="306">
        <f t="shared" ca="1" si="190"/>
        <v>1.2067084822156016</v>
      </c>
      <c r="N402" s="304">
        <f t="shared" ca="1" si="191"/>
        <v>69.139303133591326</v>
      </c>
      <c r="P402" s="310">
        <f t="shared" ca="1" si="192"/>
        <v>13</v>
      </c>
      <c r="Q402" s="304">
        <f t="shared" ca="1" si="193"/>
        <v>2290.4458839778968</v>
      </c>
      <c r="R402" s="306">
        <f t="shared" ca="1" si="194"/>
        <v>1.3774149162334475</v>
      </c>
      <c r="S402" s="307">
        <f t="shared" ca="1" si="195"/>
        <v>18.846968238458164</v>
      </c>
      <c r="T402" s="304">
        <f t="shared" ca="1" si="175"/>
        <v>184.88875841927461</v>
      </c>
      <c r="U402" s="311">
        <f t="shared" ca="1" si="176"/>
        <v>0</v>
      </c>
      <c r="V402" s="306">
        <f t="shared" ca="1" si="177"/>
        <v>1.1604550188213874</v>
      </c>
      <c r="W402" s="304">
        <f t="shared" ca="1" si="178"/>
        <v>620.59388838740495</v>
      </c>
      <c r="Y402" s="314" t="str">
        <f t="shared" ca="1" si="196"/>
        <v/>
      </c>
      <c r="Z402" s="315" t="str">
        <f t="shared" ca="1" si="197"/>
        <v/>
      </c>
      <c r="AA402" s="316" t="str">
        <f t="shared" ca="1" si="198"/>
        <v/>
      </c>
      <c r="AC402" s="310" t="e">
        <f t="shared" ca="1" si="199"/>
        <v>#N/A</v>
      </c>
      <c r="AD402" s="323" t="e">
        <f t="shared" ca="1" si="200"/>
        <v>#N/A</v>
      </c>
      <c r="AE402" s="324">
        <f t="shared" ca="1" si="179"/>
        <v>541.15446042242388</v>
      </c>
      <c r="AG402" s="306">
        <f t="shared" ca="1" si="201"/>
        <v>79.596789524954744</v>
      </c>
      <c r="AH402" s="304">
        <f t="shared" ca="1" si="202"/>
        <v>88.764136597290047</v>
      </c>
    </row>
    <row r="403" spans="1:34" x14ac:dyDescent="0.2">
      <c r="A403" s="347">
        <f t="shared" ca="1" si="180"/>
        <v>0.01</v>
      </c>
      <c r="B403" s="304">
        <f t="shared" ca="1" si="181"/>
        <v>3.9899999999999589</v>
      </c>
      <c r="D403" s="306">
        <f t="shared" ca="1" si="182"/>
        <v>31.589390586417217</v>
      </c>
      <c r="E403" s="307">
        <f t="shared" ca="1" si="183"/>
        <v>73.085016600829505</v>
      </c>
      <c r="F403" s="304">
        <f t="shared" ca="1" si="184"/>
        <v>79.61977925845278</v>
      </c>
      <c r="G403" s="306">
        <f t="shared" ca="1" si="185"/>
        <v>108.17198462671446</v>
      </c>
      <c r="H403" s="307">
        <f t="shared" ca="1" si="186"/>
        <v>283.76044538237772</v>
      </c>
      <c r="I403" s="304">
        <f t="shared" ca="1" si="187"/>
        <v>303.67938458461009</v>
      </c>
      <c r="J403" s="306">
        <f t="shared" ca="1" si="188"/>
        <v>194.23069459785077</v>
      </c>
      <c r="K403" s="307">
        <f t="shared" ca="1" si="189"/>
        <v>543.9884106254176</v>
      </c>
      <c r="L403" s="304">
        <f t="shared" ca="1" si="174"/>
        <v>577.62353970274751</v>
      </c>
      <c r="M403" s="306">
        <f t="shared" ca="1" si="190"/>
        <v>1.206593449304568</v>
      </c>
      <c r="N403" s="304">
        <f t="shared" ca="1" si="191"/>
        <v>69.132712233283996</v>
      </c>
      <c r="P403" s="310">
        <f t="shared" ca="1" si="192"/>
        <v>13</v>
      </c>
      <c r="Q403" s="304">
        <f t="shared" ca="1" si="193"/>
        <v>2291.2870718232007</v>
      </c>
      <c r="R403" s="306">
        <f t="shared" ca="1" si="194"/>
        <v>1.3779207848477557</v>
      </c>
      <c r="S403" s="307">
        <f t="shared" ca="1" si="195"/>
        <v>18.833189030609685</v>
      </c>
      <c r="T403" s="304">
        <f t="shared" ca="1" si="175"/>
        <v>184.75358439028102</v>
      </c>
      <c r="U403" s="311">
        <f t="shared" ca="1" si="176"/>
        <v>0</v>
      </c>
      <c r="V403" s="306">
        <f t="shared" ca="1" si="177"/>
        <v>1.160125956099987</v>
      </c>
      <c r="W403" s="304">
        <f t="shared" ca="1" si="178"/>
        <v>623.68086954414412</v>
      </c>
      <c r="Y403" s="314" t="str">
        <f t="shared" ca="1" si="196"/>
        <v/>
      </c>
      <c r="Z403" s="315" t="str">
        <f t="shared" ca="1" si="197"/>
        <v/>
      </c>
      <c r="AA403" s="316" t="str">
        <f t="shared" ca="1" si="198"/>
        <v/>
      </c>
      <c r="AC403" s="310" t="e">
        <f t="shared" ca="1" si="199"/>
        <v>#N/A</v>
      </c>
      <c r="AD403" s="323" t="e">
        <f t="shared" ca="1" si="200"/>
        <v>#N/A</v>
      </c>
      <c r="AE403" s="324">
        <f t="shared" ca="1" si="179"/>
        <v>543.9884106254176</v>
      </c>
      <c r="AG403" s="306">
        <f t="shared" ca="1" si="201"/>
        <v>79.543107922392224</v>
      </c>
      <c r="AH403" s="304">
        <f t="shared" ca="1" si="202"/>
        <v>88.710052276351547</v>
      </c>
    </row>
    <row r="404" spans="1:34" x14ac:dyDescent="0.2">
      <c r="A404" s="347">
        <f t="shared" ca="1" si="180"/>
        <v>0.01</v>
      </c>
      <c r="B404" s="304">
        <f t="shared" ca="1" si="181"/>
        <v>3.9999999999999587</v>
      </c>
      <c r="D404" s="306">
        <f t="shared" ca="1" si="182"/>
        <v>31.57956336786577</v>
      </c>
      <c r="E404" s="307">
        <f t="shared" ca="1" si="183"/>
        <v>73.030589429599615</v>
      </c>
      <c r="F404" s="304">
        <f t="shared" ca="1" si="184"/>
        <v>79.565921190794981</v>
      </c>
      <c r="G404" s="306">
        <f t="shared" ca="1" si="185"/>
        <v>108.48778026039312</v>
      </c>
      <c r="H404" s="307">
        <f t="shared" ca="1" si="186"/>
        <v>284.49075127667373</v>
      </c>
      <c r="I404" s="304">
        <f t="shared" ca="1" si="187"/>
        <v>304.47427810538215</v>
      </c>
      <c r="J404" s="306">
        <f t="shared" ca="1" si="188"/>
        <v>195.3139934222863</v>
      </c>
      <c r="K404" s="307">
        <f t="shared" ca="1" si="189"/>
        <v>546.82966660871284</v>
      </c>
      <c r="L404" s="304">
        <f t="shared" ca="1" si="174"/>
        <v>580.66362061864777</v>
      </c>
      <c r="M404" s="306">
        <f t="shared" ca="1" si="190"/>
        <v>1.2064786820781916</v>
      </c>
      <c r="N404" s="304">
        <f t="shared" ca="1" si="191"/>
        <v>69.126136555586214</v>
      </c>
      <c r="P404" s="310">
        <f t="shared" ca="1" si="192"/>
        <v>13</v>
      </c>
      <c r="Q404" s="304">
        <f t="shared" ca="1" si="193"/>
        <v>2292.1282596685046</v>
      </c>
      <c r="R404" s="306">
        <f t="shared" ca="1" si="194"/>
        <v>1.3784266534620639</v>
      </c>
      <c r="S404" s="307">
        <f t="shared" ca="1" si="195"/>
        <v>18.819404764075063</v>
      </c>
      <c r="T404" s="304">
        <f t="shared" ca="1" si="175"/>
        <v>184.61836073557637</v>
      </c>
      <c r="U404" s="311">
        <f t="shared" ca="1" si="176"/>
        <v>0</v>
      </c>
      <c r="V404" s="306">
        <f t="shared" ca="1" si="177"/>
        <v>1.1597961361957176</v>
      </c>
      <c r="W404" s="304">
        <f t="shared" ca="1" si="178"/>
        <v>626.77192453543466</v>
      </c>
      <c r="Y404" s="314" t="str">
        <f t="shared" ca="1" si="196"/>
        <v/>
      </c>
      <c r="Z404" s="315" t="str">
        <f t="shared" ca="1" si="197"/>
        <v/>
      </c>
      <c r="AA404" s="316" t="str">
        <f t="shared" ca="1" si="198"/>
        <v/>
      </c>
      <c r="AC404" s="310">
        <f t="shared" ca="1" si="199"/>
        <v>3.9999999999999587</v>
      </c>
      <c r="AD404" s="323">
        <f t="shared" ca="1" si="200"/>
        <v>195.3139934222863</v>
      </c>
      <c r="AE404" s="324">
        <f t="shared" ca="1" si="179"/>
        <v>546.82966660871284</v>
      </c>
      <c r="AG404" s="306">
        <f t="shared" ca="1" si="201"/>
        <v>79.489151557807844</v>
      </c>
      <c r="AH404" s="304">
        <f t="shared" ca="1" si="202"/>
        <v>88.655694005227559</v>
      </c>
    </row>
    <row r="405" spans="1:34" x14ac:dyDescent="0.2">
      <c r="A405" s="347">
        <f t="shared" ca="1" si="180"/>
        <v>0.01</v>
      </c>
      <c r="B405" s="304">
        <f t="shared" ca="1" si="181"/>
        <v>4.0099999999999589</v>
      </c>
      <c r="D405" s="306">
        <f t="shared" ca="1" si="182"/>
        <v>31.569604961907764</v>
      </c>
      <c r="E405" s="307">
        <f t="shared" ca="1" si="183"/>
        <v>72.975919405522589</v>
      </c>
      <c r="F405" s="304">
        <f t="shared" ca="1" si="184"/>
        <v>79.511790135377026</v>
      </c>
      <c r="G405" s="306">
        <f t="shared" ca="1" si="185"/>
        <v>108.8034763100122</v>
      </c>
      <c r="H405" s="307">
        <f t="shared" ca="1" si="186"/>
        <v>285.22051047072898</v>
      </c>
      <c r="I405" s="304">
        <f t="shared" ca="1" si="187"/>
        <v>305.26862932559351</v>
      </c>
      <c r="J405" s="306">
        <f t="shared" ca="1" si="188"/>
        <v>196.40044970513833</v>
      </c>
      <c r="K405" s="307">
        <f t="shared" ca="1" si="189"/>
        <v>549.67822291744983</v>
      </c>
      <c r="L405" s="304">
        <f t="shared" ca="1" si="174"/>
        <v>583.71164575847399</v>
      </c>
      <c r="M405" s="306">
        <f t="shared" ca="1" si="190"/>
        <v>1.2063641790307138</v>
      </c>
      <c r="N405" s="304">
        <f t="shared" ca="1" si="191"/>
        <v>69.11957601422435</v>
      </c>
      <c r="P405" s="310">
        <f t="shared" ca="1" si="192"/>
        <v>13</v>
      </c>
      <c r="Q405" s="304">
        <f t="shared" ca="1" si="193"/>
        <v>2292.9694475138085</v>
      </c>
      <c r="R405" s="306">
        <f t="shared" ca="1" si="194"/>
        <v>1.3789325220763722</v>
      </c>
      <c r="S405" s="307">
        <f t="shared" ca="1" si="195"/>
        <v>18.8056154388543</v>
      </c>
      <c r="T405" s="304">
        <f t="shared" ca="1" si="175"/>
        <v>184.4830874551607</v>
      </c>
      <c r="U405" s="311">
        <f t="shared" ca="1" si="176"/>
        <v>0</v>
      </c>
      <c r="V405" s="306">
        <f t="shared" ca="1" si="177"/>
        <v>1.1594655604073709</v>
      </c>
      <c r="W405" s="304">
        <f t="shared" ca="1" si="178"/>
        <v>629.86701359043809</v>
      </c>
      <c r="Y405" s="314" t="str">
        <f t="shared" ca="1" si="196"/>
        <v/>
      </c>
      <c r="Z405" s="315" t="str">
        <f t="shared" ca="1" si="197"/>
        <v/>
      </c>
      <c r="AA405" s="316" t="str">
        <f t="shared" ca="1" si="198"/>
        <v/>
      </c>
      <c r="AC405" s="310" t="e">
        <f t="shared" ca="1" si="199"/>
        <v>#N/A</v>
      </c>
      <c r="AD405" s="323" t="e">
        <f t="shared" ca="1" si="200"/>
        <v>#N/A</v>
      </c>
      <c r="AE405" s="324">
        <f t="shared" ca="1" si="179"/>
        <v>549.67822291744983</v>
      </c>
      <c r="AG405" s="306">
        <f t="shared" ca="1" si="201"/>
        <v>79.434921903080948</v>
      </c>
      <c r="AH405" s="304">
        <f t="shared" ca="1" si="202"/>
        <v>88.601063251343618</v>
      </c>
    </row>
    <row r="406" spans="1:34" x14ac:dyDescent="0.2">
      <c r="A406" s="347">
        <f t="shared" ca="1" si="180"/>
        <v>0.01</v>
      </c>
      <c r="B406" s="304">
        <f t="shared" ca="1" si="181"/>
        <v>4.0199999999999587</v>
      </c>
      <c r="D406" s="306">
        <f t="shared" ca="1" si="182"/>
        <v>31.559515974477009</v>
      </c>
      <c r="E406" s="307">
        <f t="shared" ca="1" si="183"/>
        <v>72.921007884360563</v>
      </c>
      <c r="F406" s="304">
        <f t="shared" ca="1" si="184"/>
        <v>79.457387569780096</v>
      </c>
      <c r="G406" s="306">
        <f t="shared" ca="1" si="185"/>
        <v>109.11907146975697</v>
      </c>
      <c r="H406" s="307">
        <f t="shared" ca="1" si="186"/>
        <v>285.94972054957259</v>
      </c>
      <c r="I406" s="304">
        <f t="shared" ca="1" si="187"/>
        <v>306.06243552713323</v>
      </c>
      <c r="J406" s="306">
        <f t="shared" ca="1" si="188"/>
        <v>197.49006244403716</v>
      </c>
      <c r="K406" s="307">
        <f t="shared" ca="1" si="189"/>
        <v>552.53407407255133</v>
      </c>
      <c r="L406" s="304">
        <f t="shared" ca="1" si="174"/>
        <v>586.76760968492579</v>
      </c>
      <c r="M406" s="306">
        <f t="shared" ca="1" si="190"/>
        <v>1.206249938668029</v>
      </c>
      <c r="N406" s="304">
        <f t="shared" ca="1" si="191"/>
        <v>69.113030523592457</v>
      </c>
      <c r="P406" s="310">
        <f t="shared" ca="1" si="192"/>
        <v>13</v>
      </c>
      <c r="Q406" s="304">
        <f t="shared" ca="1" si="193"/>
        <v>2293.8106353591124</v>
      </c>
      <c r="R406" s="306">
        <f t="shared" ca="1" si="194"/>
        <v>1.3794383906906804</v>
      </c>
      <c r="S406" s="307">
        <f t="shared" ca="1" si="195"/>
        <v>18.791821054947395</v>
      </c>
      <c r="T406" s="304">
        <f t="shared" ca="1" si="175"/>
        <v>184.34776454903394</v>
      </c>
      <c r="U406" s="311">
        <f t="shared" ca="1" si="176"/>
        <v>0</v>
      </c>
      <c r="V406" s="306">
        <f t="shared" ca="1" si="177"/>
        <v>1.159134230037089</v>
      </c>
      <c r="W406" s="304">
        <f t="shared" ca="1" si="178"/>
        <v>632.96609691842161</v>
      </c>
      <c r="Y406" s="314" t="str">
        <f t="shared" ca="1" si="196"/>
        <v/>
      </c>
      <c r="Z406" s="315" t="str">
        <f t="shared" ca="1" si="197"/>
        <v/>
      </c>
      <c r="AA406" s="316" t="str">
        <f t="shared" ca="1" si="198"/>
        <v/>
      </c>
      <c r="AC406" s="310" t="e">
        <f t="shared" ca="1" si="199"/>
        <v>#N/A</v>
      </c>
      <c r="AD406" s="323" t="e">
        <f t="shared" ca="1" si="200"/>
        <v>#N/A</v>
      </c>
      <c r="AE406" s="324">
        <f t="shared" ca="1" si="179"/>
        <v>552.53407407255133</v>
      </c>
      <c r="AG406" s="306">
        <f t="shared" ca="1" si="201"/>
        <v>79.380420435065702</v>
      </c>
      <c r="AH406" s="304">
        <f t="shared" ca="1" si="202"/>
        <v>88.546161487132807</v>
      </c>
    </row>
    <row r="407" spans="1:34" x14ac:dyDescent="0.2">
      <c r="A407" s="347">
        <f t="shared" ca="1" si="180"/>
        <v>0.01</v>
      </c>
      <c r="B407" s="304">
        <f t="shared" ca="1" si="181"/>
        <v>4.0299999999999585</v>
      </c>
      <c r="D407" s="306">
        <f t="shared" ca="1" si="182"/>
        <v>31.549297013005887</v>
      </c>
      <c r="E407" s="307">
        <f t="shared" ca="1" si="183"/>
        <v>72.865856226515533</v>
      </c>
      <c r="F407" s="304">
        <f t="shared" ca="1" si="184"/>
        <v>79.402714976492419</v>
      </c>
      <c r="G407" s="306">
        <f t="shared" ca="1" si="185"/>
        <v>109.43456443988704</v>
      </c>
      <c r="H407" s="307">
        <f t="shared" ca="1" si="186"/>
        <v>286.67837911183773</v>
      </c>
      <c r="I407" s="304">
        <f t="shared" ca="1" si="187"/>
        <v>306.85569400670789</v>
      </c>
      <c r="J407" s="306">
        <f t="shared" ca="1" si="188"/>
        <v>198.58283062358538</v>
      </c>
      <c r="K407" s="307">
        <f t="shared" ca="1" si="189"/>
        <v>555.39721457085841</v>
      </c>
      <c r="L407" s="304">
        <f t="shared" ca="1" si="174"/>
        <v>589.83150693358505</v>
      </c>
      <c r="M407" s="306">
        <f t="shared" ca="1" si="190"/>
        <v>1.206135959507566</v>
      </c>
      <c r="N407" s="304">
        <f t="shared" ca="1" si="191"/>
        <v>69.106499998745491</v>
      </c>
      <c r="P407" s="310">
        <f t="shared" ca="1" si="192"/>
        <v>13</v>
      </c>
      <c r="Q407" s="304">
        <f t="shared" ca="1" si="193"/>
        <v>2294.6518232044164</v>
      </c>
      <c r="R407" s="306">
        <f t="shared" ca="1" si="194"/>
        <v>1.3799442593049887</v>
      </c>
      <c r="S407" s="307">
        <f t="shared" ca="1" si="195"/>
        <v>18.778021612354344</v>
      </c>
      <c r="T407" s="304">
        <f t="shared" ca="1" si="175"/>
        <v>184.21239201719612</v>
      </c>
      <c r="U407" s="311">
        <f t="shared" ca="1" si="176"/>
        <v>0</v>
      </c>
      <c r="V407" s="306">
        <f t="shared" ca="1" si="177"/>
        <v>1.1588021463903386</v>
      </c>
      <c r="W407" s="304">
        <f t="shared" ca="1" si="178"/>
        <v>636.06913471030782</v>
      </c>
      <c r="Y407" s="314" t="str">
        <f t="shared" ca="1" si="196"/>
        <v/>
      </c>
      <c r="Z407" s="315" t="str">
        <f t="shared" ca="1" si="197"/>
        <v/>
      </c>
      <c r="AA407" s="316" t="str">
        <f t="shared" ca="1" si="198"/>
        <v/>
      </c>
      <c r="AC407" s="310" t="e">
        <f t="shared" ca="1" si="199"/>
        <v>#N/A</v>
      </c>
      <c r="AD407" s="323" t="e">
        <f t="shared" ca="1" si="200"/>
        <v>#N/A</v>
      </c>
      <c r="AE407" s="324">
        <f t="shared" ca="1" si="179"/>
        <v>555.39721457085841</v>
      </c>
      <c r="AG407" s="306">
        <f t="shared" ca="1" si="201"/>
        <v>79.325648635530996</v>
      </c>
      <c r="AH407" s="304">
        <f t="shared" ca="1" si="202"/>
        <v>88.490990189975435</v>
      </c>
    </row>
    <row r="408" spans="1:34" x14ac:dyDescent="0.2">
      <c r="A408" s="347">
        <f t="shared" ca="1" si="180"/>
        <v>0.01</v>
      </c>
      <c r="B408" s="304">
        <f t="shared" ca="1" si="181"/>
        <v>4.0399999999999583</v>
      </c>
      <c r="D408" s="306">
        <f t="shared" ca="1" si="182"/>
        <v>31.538948686412038</v>
      </c>
      <c r="E408" s="307">
        <f t="shared" ca="1" si="183"/>
        <v>72.810465796970277</v>
      </c>
      <c r="F408" s="304">
        <f t="shared" ca="1" si="184"/>
        <v>79.347773842848994</v>
      </c>
      <c r="G408" s="306">
        <f t="shared" ca="1" si="185"/>
        <v>109.74995392675116</v>
      </c>
      <c r="H408" s="307">
        <f t="shared" ca="1" si="186"/>
        <v>287.40648376980744</v>
      </c>
      <c r="I408" s="304">
        <f t="shared" ca="1" si="187"/>
        <v>307.6484020758902</v>
      </c>
      <c r="J408" s="306">
        <f t="shared" ca="1" si="188"/>
        <v>199.67875321541857</v>
      </c>
      <c r="K408" s="307">
        <f t="shared" ca="1" si="189"/>
        <v>558.26763888526659</v>
      </c>
      <c r="L408" s="304">
        <f t="shared" ca="1" si="174"/>
        <v>592.90333201306476</v>
      </c>
      <c r="M408" s="306">
        <f t="shared" ca="1" si="190"/>
        <v>1.2060222400781722</v>
      </c>
      <c r="N408" s="304">
        <f t="shared" ca="1" si="191"/>
        <v>69.099984355392593</v>
      </c>
      <c r="P408" s="310">
        <f t="shared" ca="1" si="192"/>
        <v>13</v>
      </c>
      <c r="Q408" s="304">
        <f t="shared" ca="1" si="193"/>
        <v>2295.4930110497203</v>
      </c>
      <c r="R408" s="306">
        <f t="shared" ca="1" si="194"/>
        <v>1.3804501279192969</v>
      </c>
      <c r="S408" s="307">
        <f t="shared" ca="1" si="195"/>
        <v>18.764217111075151</v>
      </c>
      <c r="T408" s="304">
        <f t="shared" ca="1" si="175"/>
        <v>184.07696985964725</v>
      </c>
      <c r="U408" s="311">
        <f t="shared" ca="1" si="176"/>
        <v>0</v>
      </c>
      <c r="V408" s="306">
        <f t="shared" ca="1" si="177"/>
        <v>1.1584693107758828</v>
      </c>
      <c r="W408" s="304">
        <f t="shared" ca="1" si="178"/>
        <v>639.17608714022163</v>
      </c>
      <c r="Y408" s="314" t="str">
        <f t="shared" ca="1" si="196"/>
        <v/>
      </c>
      <c r="Z408" s="315" t="str">
        <f t="shared" ca="1" si="197"/>
        <v/>
      </c>
      <c r="AA408" s="316" t="str">
        <f t="shared" ca="1" si="198"/>
        <v/>
      </c>
      <c r="AC408" s="310" t="e">
        <f t="shared" ca="1" si="199"/>
        <v>#N/A</v>
      </c>
      <c r="AD408" s="323" t="e">
        <f t="shared" ca="1" si="200"/>
        <v>#N/A</v>
      </c>
      <c r="AE408" s="324">
        <f t="shared" ca="1" si="179"/>
        <v>558.26763888526659</v>
      </c>
      <c r="AG408" s="306">
        <f t="shared" ca="1" si="201"/>
        <v>79.270607991100377</v>
      </c>
      <c r="AH408" s="304">
        <f t="shared" ca="1" si="202"/>
        <v>88.435550842138525</v>
      </c>
    </row>
    <row r="409" spans="1:34" x14ac:dyDescent="0.2">
      <c r="A409" s="347">
        <f t="shared" ca="1" si="180"/>
        <v>0.01</v>
      </c>
      <c r="B409" s="304">
        <f t="shared" ca="1" si="181"/>
        <v>4.0499999999999581</v>
      </c>
      <c r="D409" s="306">
        <f t="shared" ca="1" si="182"/>
        <v>31.528471605084874</v>
      </c>
      <c r="E409" s="307">
        <f t="shared" ca="1" si="183"/>
        <v>72.75483796522991</v>
      </c>
      <c r="F409" s="304">
        <f t="shared" ca="1" si="184"/>
        <v>79.292565660971661</v>
      </c>
      <c r="G409" s="306">
        <f t="shared" ca="1" si="185"/>
        <v>110.06523864280202</v>
      </c>
      <c r="H409" s="307">
        <f t="shared" ca="1" si="186"/>
        <v>288.13403214945976</v>
      </c>
      <c r="I409" s="304">
        <f t="shared" ca="1" si="187"/>
        <v>308.44055706116677</v>
      </c>
      <c r="J409" s="306">
        <f t="shared" ca="1" si="188"/>
        <v>200.77782917826633</v>
      </c>
      <c r="K409" s="307">
        <f t="shared" ca="1" si="189"/>
        <v>561.1453414648629</v>
      </c>
      <c r="L409" s="304">
        <f t="shared" ca="1" si="174"/>
        <v>595.98307940515792</v>
      </c>
      <c r="M409" s="306">
        <f t="shared" ca="1" si="190"/>
        <v>1.2059087789199978</v>
      </c>
      <c r="N409" s="304">
        <f t="shared" ca="1" si="191"/>
        <v>69.093483509890532</v>
      </c>
      <c r="P409" s="310">
        <f t="shared" ca="1" si="192"/>
        <v>13</v>
      </c>
      <c r="Q409" s="304">
        <f t="shared" ca="1" si="193"/>
        <v>2296.3341988950237</v>
      </c>
      <c r="R409" s="306">
        <f t="shared" ca="1" si="194"/>
        <v>1.3809559965336049</v>
      </c>
      <c r="S409" s="307">
        <f t="shared" ca="1" si="195"/>
        <v>18.750407551109816</v>
      </c>
      <c r="T409" s="304">
        <f t="shared" ca="1" si="175"/>
        <v>183.94149807638732</v>
      </c>
      <c r="U409" s="311">
        <f t="shared" ca="1" si="176"/>
        <v>0</v>
      </c>
      <c r="V409" s="306">
        <f t="shared" ca="1" si="177"/>
        <v>1.1581357245057553</v>
      </c>
      <c r="W409" s="304">
        <f t="shared" ca="1" si="178"/>
        <v>642.28691436703355</v>
      </c>
      <c r="Y409" s="314" t="str">
        <f t="shared" ca="1" si="196"/>
        <v/>
      </c>
      <c r="Z409" s="315" t="str">
        <f t="shared" ca="1" si="197"/>
        <v/>
      </c>
      <c r="AA409" s="316" t="str">
        <f t="shared" ca="1" si="198"/>
        <v/>
      </c>
      <c r="AC409" s="310" t="e">
        <f t="shared" ca="1" si="199"/>
        <v>#N/A</v>
      </c>
      <c r="AD409" s="323" t="e">
        <f t="shared" ca="1" si="200"/>
        <v>#N/A</v>
      </c>
      <c r="AE409" s="324">
        <f t="shared" ca="1" si="179"/>
        <v>561.1453414648629</v>
      </c>
      <c r="AG409" s="306">
        <f t="shared" ca="1" si="201"/>
        <v>79.21529999319192</v>
      </c>
      <c r="AH409" s="304">
        <f t="shared" ca="1" si="202"/>
        <v>88.379844930715478</v>
      </c>
    </row>
    <row r="410" spans="1:34" x14ac:dyDescent="0.2">
      <c r="A410" s="347">
        <f t="shared" ca="1" si="180"/>
        <v>0.01</v>
      </c>
      <c r="B410" s="304">
        <f t="shared" ca="1" si="181"/>
        <v>4.0599999999999579</v>
      </c>
      <c r="D410" s="306">
        <f t="shared" ca="1" si="182"/>
        <v>31.51786638087189</v>
      </c>
      <c r="E410" s="307">
        <f t="shared" ca="1" si="183"/>
        <v>72.698974105262749</v>
      </c>
      <c r="F410" s="304">
        <f t="shared" ca="1" si="184"/>
        <v>79.23709192770869</v>
      </c>
      <c r="G410" s="306">
        <f t="shared" ca="1" si="185"/>
        <v>110.38041730661074</v>
      </c>
      <c r="H410" s="307">
        <f t="shared" ca="1" si="186"/>
        <v>288.8610218905124</v>
      </c>
      <c r="I410" s="304">
        <f t="shared" ca="1" si="187"/>
        <v>309.23215630398562</v>
      </c>
      <c r="J410" s="306">
        <f t="shared" ca="1" si="188"/>
        <v>201.8800574580134</v>
      </c>
      <c r="K410" s="307">
        <f t="shared" ca="1" si="189"/>
        <v>564.0303167350628</v>
      </c>
      <c r="L410" s="304">
        <f t="shared" ca="1" si="174"/>
        <v>599.07074356498674</v>
      </c>
      <c r="M410" s="306">
        <f t="shared" ca="1" si="190"/>
        <v>1.2057955745843822</v>
      </c>
      <c r="N410" s="304">
        <f t="shared" ca="1" si="191"/>
        <v>69.086997379237175</v>
      </c>
      <c r="P410" s="310">
        <f t="shared" ca="1" si="192"/>
        <v>13</v>
      </c>
      <c r="Q410" s="304">
        <f t="shared" ca="1" si="193"/>
        <v>2297.1753867403277</v>
      </c>
      <c r="R410" s="306">
        <f t="shared" ca="1" si="194"/>
        <v>1.3814618651479131</v>
      </c>
      <c r="S410" s="307">
        <f t="shared" ca="1" si="195"/>
        <v>18.736592932458336</v>
      </c>
      <c r="T410" s="304">
        <f t="shared" ca="1" si="175"/>
        <v>183.80597666741627</v>
      </c>
      <c r="U410" s="311">
        <f t="shared" ca="1" si="176"/>
        <v>0</v>
      </c>
      <c r="V410" s="306">
        <f t="shared" ca="1" si="177"/>
        <v>1.1578013888952339</v>
      </c>
      <c r="W410" s="304">
        <f t="shared" ca="1" si="178"/>
        <v>645.40157653590359</v>
      </c>
      <c r="Y410" s="314" t="str">
        <f t="shared" ca="1" si="196"/>
        <v/>
      </c>
      <c r="Z410" s="315" t="str">
        <f t="shared" ca="1" si="197"/>
        <v/>
      </c>
      <c r="AA410" s="316" t="str">
        <f t="shared" ca="1" si="198"/>
        <v/>
      </c>
      <c r="AC410" s="310" t="e">
        <f t="shared" ca="1" si="199"/>
        <v>#N/A</v>
      </c>
      <c r="AD410" s="323" t="e">
        <f t="shared" ca="1" si="200"/>
        <v>#N/A</v>
      </c>
      <c r="AE410" s="324">
        <f t="shared" ca="1" si="179"/>
        <v>564.0303167350628</v>
      </c>
      <c r="AG410" s="306">
        <f t="shared" ca="1" si="201"/>
        <v>79.15972613795789</v>
      </c>
      <c r="AH410" s="304">
        <f t="shared" ca="1" si="202"/>
        <v>88.32387394756536</v>
      </c>
    </row>
    <row r="411" spans="1:34" x14ac:dyDescent="0.2">
      <c r="A411" s="347">
        <f t="shared" ca="1" si="180"/>
        <v>0.01</v>
      </c>
      <c r="B411" s="304">
        <f t="shared" ca="1" si="181"/>
        <v>4.0699999999999577</v>
      </c>
      <c r="D411" s="306">
        <f t="shared" ca="1" si="182"/>
        <v>31.507133627064832</v>
      </c>
      <c r="E411" s="307">
        <f t="shared" ca="1" si="183"/>
        <v>72.642875595441311</v>
      </c>
      <c r="F411" s="304">
        <f t="shared" ca="1" si="184"/>
        <v>79.181354144574229</v>
      </c>
      <c r="G411" s="306">
        <f t="shared" ca="1" si="185"/>
        <v>110.69548864288139</v>
      </c>
      <c r="H411" s="307">
        <f t="shared" ca="1" si="186"/>
        <v>289.58745064646683</v>
      </c>
      <c r="I411" s="304">
        <f t="shared" ca="1" si="187"/>
        <v>310.02319716080302</v>
      </c>
      <c r="J411" s="306">
        <f t="shared" ca="1" si="188"/>
        <v>202.98543698776086</v>
      </c>
      <c r="K411" s="307">
        <f t="shared" ca="1" si="189"/>
        <v>566.92255909774769</v>
      </c>
      <c r="L411" s="304">
        <f t="shared" ca="1" si="174"/>
        <v>602.16631892115277</v>
      </c>
      <c r="M411" s="306">
        <f t="shared" ca="1" si="190"/>
        <v>1.2056826256337423</v>
      </c>
      <c r="N411" s="304">
        <f t="shared" ca="1" si="191"/>
        <v>69.080525881065071</v>
      </c>
      <c r="P411" s="310">
        <f t="shared" ca="1" si="192"/>
        <v>13</v>
      </c>
      <c r="Q411" s="304">
        <f t="shared" ca="1" si="193"/>
        <v>2298.0165745856316</v>
      </c>
      <c r="R411" s="306">
        <f t="shared" ca="1" si="194"/>
        <v>1.3819677337622214</v>
      </c>
      <c r="S411" s="307">
        <f t="shared" ca="1" si="195"/>
        <v>18.722773255120714</v>
      </c>
      <c r="T411" s="304">
        <f t="shared" ca="1" si="175"/>
        <v>183.6704056327342</v>
      </c>
      <c r="U411" s="311">
        <f t="shared" ca="1" si="176"/>
        <v>0</v>
      </c>
      <c r="V411" s="306">
        <f t="shared" ca="1" si="177"/>
        <v>1.1574663052628125</v>
      </c>
      <c r="W411" s="304">
        <f t="shared" ca="1" si="178"/>
        <v>648.52003377981941</v>
      </c>
      <c r="Y411" s="314" t="str">
        <f t="shared" ca="1" si="196"/>
        <v/>
      </c>
      <c r="Z411" s="315" t="str">
        <f t="shared" ca="1" si="197"/>
        <v/>
      </c>
      <c r="AA411" s="316" t="str">
        <f t="shared" ca="1" si="198"/>
        <v/>
      </c>
      <c r="AC411" s="310" t="e">
        <f t="shared" ca="1" si="199"/>
        <v>#N/A</v>
      </c>
      <c r="AD411" s="323" t="e">
        <f t="shared" ca="1" si="200"/>
        <v>#N/A</v>
      </c>
      <c r="AE411" s="324">
        <f t="shared" ca="1" si="179"/>
        <v>566.92255909774769</v>
      </c>
      <c r="AG411" s="306">
        <f t="shared" ca="1" si="201"/>
        <v>79.103887926224132</v>
      </c>
      <c r="AH411" s="304">
        <f t="shared" ca="1" si="202"/>
        <v>88.267639389252054</v>
      </c>
    </row>
    <row r="412" spans="1:34" x14ac:dyDescent="0.2">
      <c r="A412" s="347">
        <f t="shared" ca="1" si="180"/>
        <v>0.01</v>
      </c>
      <c r="B412" s="304">
        <f t="shared" ca="1" si="181"/>
        <v>4.0799999999999574</v>
      </c>
      <c r="D412" s="306">
        <f t="shared" ca="1" si="182"/>
        <v>31.496273958385647</v>
      </c>
      <c r="E412" s="307">
        <f t="shared" ca="1" si="183"/>
        <v>72.586543818483321</v>
      </c>
      <c r="F412" s="304">
        <f t="shared" ca="1" si="184"/>
        <v>79.125353817687795</v>
      </c>
      <c r="G412" s="306">
        <f t="shared" ca="1" si="185"/>
        <v>111.01045138246525</v>
      </c>
      <c r="H412" s="307">
        <f t="shared" ca="1" si="186"/>
        <v>290.31331608465166</v>
      </c>
      <c r="I412" s="304">
        <f t="shared" ca="1" si="187"/>
        <v>310.81367700312921</v>
      </c>
      <c r="J412" s="306">
        <f t="shared" ca="1" si="188"/>
        <v>204.09396668788759</v>
      </c>
      <c r="K412" s="307">
        <f t="shared" ca="1" si="189"/>
        <v>569.82206293140325</v>
      </c>
      <c r="L412" s="304">
        <f t="shared" ca="1" si="174"/>
        <v>605.26979987588732</v>
      </c>
      <c r="M412" s="306">
        <f t="shared" ca="1" si="190"/>
        <v>1.2055699306414611</v>
      </c>
      <c r="N412" s="304">
        <f t="shared" ca="1" si="191"/>
        <v>69.074068933635104</v>
      </c>
      <c r="P412" s="310">
        <f t="shared" ca="1" si="192"/>
        <v>13</v>
      </c>
      <c r="Q412" s="304">
        <f t="shared" ca="1" si="193"/>
        <v>2298.8577624309355</v>
      </c>
      <c r="R412" s="306">
        <f t="shared" ca="1" si="194"/>
        <v>1.3824736023765296</v>
      </c>
      <c r="S412" s="307">
        <f t="shared" ca="1" si="195"/>
        <v>18.70894851909695</v>
      </c>
      <c r="T412" s="304">
        <f t="shared" ca="1" si="175"/>
        <v>183.5347849723411</v>
      </c>
      <c r="U412" s="311">
        <f t="shared" ca="1" si="176"/>
        <v>0</v>
      </c>
      <c r="V412" s="306">
        <f t="shared" ca="1" si="177"/>
        <v>1.1571304749301765</v>
      </c>
      <c r="W412" s="304">
        <f t="shared" ca="1" si="178"/>
        <v>651.64224622113181</v>
      </c>
      <c r="Y412" s="314" t="str">
        <f t="shared" ca="1" si="196"/>
        <v/>
      </c>
      <c r="Z412" s="315" t="str">
        <f t="shared" ca="1" si="197"/>
        <v/>
      </c>
      <c r="AA412" s="316" t="str">
        <f t="shared" ca="1" si="198"/>
        <v/>
      </c>
      <c r="AC412" s="310" t="e">
        <f t="shared" ca="1" si="199"/>
        <v>#N/A</v>
      </c>
      <c r="AD412" s="323" t="e">
        <f t="shared" ca="1" si="200"/>
        <v>#N/A</v>
      </c>
      <c r="AE412" s="324">
        <f t="shared" ca="1" si="179"/>
        <v>569.82206293140325</v>
      </c>
      <c r="AG412" s="306">
        <f t="shared" ca="1" si="201"/>
        <v>79.047786863429693</v>
      </c>
      <c r="AH412" s="304">
        <f t="shared" ca="1" si="202"/>
        <v>88.211142756983506</v>
      </c>
    </row>
    <row r="413" spans="1:34" x14ac:dyDescent="0.2">
      <c r="A413" s="347">
        <f t="shared" ca="1" si="180"/>
        <v>0.01</v>
      </c>
      <c r="B413" s="304">
        <f t="shared" ca="1" si="181"/>
        <v>4.0899999999999572</v>
      </c>
      <c r="D413" s="306">
        <f t="shared" ca="1" si="182"/>
        <v>31.46187786921222</v>
      </c>
      <c r="E413" s="307">
        <f t="shared" ca="1" si="183"/>
        <v>72.468758267476517</v>
      </c>
      <c r="F413" s="304">
        <f t="shared" ca="1" si="184"/>
        <v>79.003611840770745</v>
      </c>
      <c r="G413" s="306">
        <f t="shared" ca="1" si="185"/>
        <v>111.32507016115737</v>
      </c>
      <c r="H413" s="307">
        <f t="shared" ca="1" si="186"/>
        <v>291.03800366732645</v>
      </c>
      <c r="I413" s="304">
        <f t="shared" ca="1" si="187"/>
        <v>311.60293776703924</v>
      </c>
      <c r="J413" s="306">
        <f t="shared" ca="1" si="188"/>
        <v>205.20564429560571</v>
      </c>
      <c r="K413" s="307">
        <f t="shared" ca="1" si="189"/>
        <v>572.72881953016315</v>
      </c>
      <c r="L413" s="304">
        <f t="shared" ca="1" si="174"/>
        <v>608.38117752868459</v>
      </c>
      <c r="M413" s="306">
        <f t="shared" ca="1" si="190"/>
        <v>1.2054574879552582</v>
      </c>
      <c r="N413" s="304">
        <f t="shared" ca="1" si="191"/>
        <v>69.067626442278566</v>
      </c>
      <c r="P413" s="310">
        <f t="shared" ca="1" si="192"/>
        <v>14</v>
      </c>
      <c r="Q413" s="304">
        <f t="shared" ca="1" si="193"/>
        <v>2298.4742265005689</v>
      </c>
      <c r="R413" s="306">
        <f t="shared" ca="1" si="194"/>
        <v>1.3822429537874954</v>
      </c>
      <c r="S413" s="307">
        <f t="shared" ca="1" si="195"/>
        <v>18.695126089559075</v>
      </c>
      <c r="T413" s="304">
        <f t="shared" ca="1" si="175"/>
        <v>183.39918693857453</v>
      </c>
      <c r="U413" s="311">
        <f t="shared" ca="1" si="176"/>
        <v>0</v>
      </c>
      <c r="V413" s="306">
        <f t="shared" ca="1" si="177"/>
        <v>1.1567938995765685</v>
      </c>
      <c r="W413" s="304">
        <f t="shared" ca="1" si="178"/>
        <v>654.76541959890938</v>
      </c>
      <c r="Y413" s="314" t="str">
        <f t="shared" ca="1" si="196"/>
        <v/>
      </c>
      <c r="Z413" s="315" t="str">
        <f t="shared" ca="1" si="197"/>
        <v/>
      </c>
      <c r="AA413" s="316" t="str">
        <f t="shared" ca="1" si="198"/>
        <v/>
      </c>
      <c r="AC413" s="310" t="e">
        <f t="shared" ca="1" si="199"/>
        <v>#N/A</v>
      </c>
      <c r="AD413" s="323" t="e">
        <f t="shared" ca="1" si="200"/>
        <v>#N/A</v>
      </c>
      <c r="AE413" s="324">
        <f t="shared" ca="1" si="179"/>
        <v>572.72881953016315</v>
      </c>
      <c r="AG413" s="306">
        <f t="shared" ca="1" si="201"/>
        <v>78.925879405629857</v>
      </c>
      <c r="AH413" s="304">
        <f t="shared" ca="1" si="202"/>
        <v>88.088840502614531</v>
      </c>
    </row>
    <row r="414" spans="1:34" x14ac:dyDescent="0.2">
      <c r="A414" s="347">
        <f t="shared" ca="1" si="180"/>
        <v>0.01</v>
      </c>
      <c r="B414" s="304">
        <f t="shared" ca="1" si="181"/>
        <v>4.099999999999957</v>
      </c>
      <c r="D414" s="306">
        <f t="shared" ca="1" si="182"/>
        <v>31.421489411161595</v>
      </c>
      <c r="E414" s="307">
        <f t="shared" ca="1" si="183"/>
        <v>72.335446099788314</v>
      </c>
      <c r="F414" s="304">
        <f t="shared" ca="1" si="184"/>
        <v>78.865244304897203</v>
      </c>
      <c r="G414" s="306">
        <f t="shared" ca="1" si="185"/>
        <v>111.63928505526899</v>
      </c>
      <c r="H414" s="307">
        <f t="shared" ca="1" si="186"/>
        <v>291.76135812832433</v>
      </c>
      <c r="I414" s="304">
        <f t="shared" ca="1" si="187"/>
        <v>312.39081302838588</v>
      </c>
      <c r="J414" s="306">
        <f t="shared" ca="1" si="188"/>
        <v>206.32046607168783</v>
      </c>
      <c r="K414" s="307">
        <f t="shared" ca="1" si="189"/>
        <v>575.6428163391414</v>
      </c>
      <c r="L414" s="304">
        <f t="shared" ca="1" si="174"/>
        <v>611.50043885748516</v>
      </c>
      <c r="M414" s="306">
        <f t="shared" ca="1" si="190"/>
        <v>1.2053452958780675</v>
      </c>
      <c r="N414" s="304">
        <f t="shared" ca="1" si="191"/>
        <v>69.061198309760726</v>
      </c>
      <c r="P414" s="310">
        <f t="shared" ca="1" si="192"/>
        <v>14</v>
      </c>
      <c r="Q414" s="304">
        <f t="shared" ca="1" si="193"/>
        <v>2297.7845096262768</v>
      </c>
      <c r="R414" s="306">
        <f t="shared" ca="1" si="194"/>
        <v>1.381828175897621</v>
      </c>
      <c r="S414" s="307">
        <f t="shared" ca="1" si="195"/>
        <v>18.681307807800099</v>
      </c>
      <c r="T414" s="304">
        <f t="shared" ca="1" si="175"/>
        <v>183.26362959451899</v>
      </c>
      <c r="U414" s="311">
        <f t="shared" ca="1" si="176"/>
        <v>0</v>
      </c>
      <c r="V414" s="306">
        <f t="shared" ca="1" si="177"/>
        <v>1.1564565813267833</v>
      </c>
      <c r="W414" s="304">
        <f t="shared" ca="1" si="178"/>
        <v>657.88880594643661</v>
      </c>
      <c r="Y414" s="314" t="str">
        <f t="shared" ca="1" si="196"/>
        <v/>
      </c>
      <c r="Z414" s="315" t="str">
        <f t="shared" ca="1" si="197"/>
        <v/>
      </c>
      <c r="AA414" s="316" t="str">
        <f t="shared" ca="1" si="198"/>
        <v/>
      </c>
      <c r="AC414" s="310" t="e">
        <f t="shared" ca="1" si="199"/>
        <v>#N/A</v>
      </c>
      <c r="AD414" s="323" t="e">
        <f t="shared" ca="1" si="200"/>
        <v>#N/A</v>
      </c>
      <c r="AE414" s="324">
        <f t="shared" ca="1" si="179"/>
        <v>575.6428163391414</v>
      </c>
      <c r="AG414" s="306">
        <f t="shared" ca="1" si="201"/>
        <v>78.787329530531792</v>
      </c>
      <c r="AH414" s="304">
        <f t="shared" ca="1" si="202"/>
        <v>87.949896598853186</v>
      </c>
    </row>
    <row r="415" spans="1:34" x14ac:dyDescent="0.2">
      <c r="A415" s="347">
        <f t="shared" ca="1" si="180"/>
        <v>0.01</v>
      </c>
      <c r="B415" s="304">
        <f t="shared" ca="1" si="181"/>
        <v>4.1099999999999568</v>
      </c>
      <c r="D415" s="306">
        <f t="shared" ca="1" si="182"/>
        <v>31.380966257176933</v>
      </c>
      <c r="E415" s="307">
        <f t="shared" ca="1" si="183"/>
        <v>72.201930925931194</v>
      </c>
      <c r="F415" s="304">
        <f t="shared" ca="1" si="184"/>
        <v>78.726640171336001</v>
      </c>
      <c r="G415" s="306">
        <f t="shared" ca="1" si="185"/>
        <v>111.95309471784076</v>
      </c>
      <c r="H415" s="307">
        <f t="shared" ca="1" si="186"/>
        <v>292.48337743758367</v>
      </c>
      <c r="I415" s="304">
        <f t="shared" ca="1" si="187"/>
        <v>313.1773004133567</v>
      </c>
      <c r="J415" s="306">
        <f t="shared" ca="1" si="188"/>
        <v>207.43842797055339</v>
      </c>
      <c r="K415" s="307">
        <f t="shared" ca="1" si="189"/>
        <v>578.56404001697092</v>
      </c>
      <c r="L415" s="304">
        <f t="shared" ca="1" si="174"/>
        <v>614.62756999637884</v>
      </c>
      <c r="M415" s="306">
        <f t="shared" ca="1" si="190"/>
        <v>1.2052333527276025</v>
      </c>
      <c r="N415" s="304">
        <f t="shared" ca="1" si="191"/>
        <v>69.054784439693691</v>
      </c>
      <c r="P415" s="310">
        <f t="shared" ca="1" si="192"/>
        <v>14</v>
      </c>
      <c r="Q415" s="304">
        <f t="shared" ca="1" si="193"/>
        <v>2297.0947927519846</v>
      </c>
      <c r="R415" s="306">
        <f t="shared" ca="1" si="194"/>
        <v>1.3814133980077465</v>
      </c>
      <c r="S415" s="307">
        <f t="shared" ca="1" si="195"/>
        <v>18.667493673820022</v>
      </c>
      <c r="T415" s="304">
        <f t="shared" ca="1" si="175"/>
        <v>183.12811294017442</v>
      </c>
      <c r="U415" s="311">
        <f t="shared" ca="1" si="176"/>
        <v>0</v>
      </c>
      <c r="V415" s="306">
        <f t="shared" ca="1" si="177"/>
        <v>1.1561185223961616</v>
      </c>
      <c r="W415" s="304">
        <f t="shared" ca="1" si="178"/>
        <v>661.01234373814555</v>
      </c>
      <c r="Y415" s="314" t="str">
        <f t="shared" ca="1" si="196"/>
        <v/>
      </c>
      <c r="Z415" s="315" t="str">
        <f t="shared" ca="1" si="197"/>
        <v/>
      </c>
      <c r="AA415" s="316" t="str">
        <f t="shared" ca="1" si="198"/>
        <v/>
      </c>
      <c r="AC415" s="310" t="e">
        <f t="shared" ca="1" si="199"/>
        <v>#N/A</v>
      </c>
      <c r="AD415" s="323" t="e">
        <f t="shared" ca="1" si="200"/>
        <v>#N/A</v>
      </c>
      <c r="AE415" s="324">
        <f t="shared" ca="1" si="179"/>
        <v>578.56404001697092</v>
      </c>
      <c r="AG415" s="306">
        <f t="shared" ca="1" si="201"/>
        <v>78.648542271630106</v>
      </c>
      <c r="AH415" s="304">
        <f t="shared" ca="1" si="202"/>
        <v>87.810716074029301</v>
      </c>
    </row>
    <row r="416" spans="1:34" x14ac:dyDescent="0.2">
      <c r="A416" s="347">
        <f t="shared" ca="1" si="180"/>
        <v>0.01</v>
      </c>
      <c r="B416" s="304">
        <f t="shared" ca="1" si="181"/>
        <v>4.1199999999999566</v>
      </c>
      <c r="D416" s="306">
        <f t="shared" ca="1" si="182"/>
        <v>31.340309597088766</v>
      </c>
      <c r="E416" s="307">
        <f t="shared" ca="1" si="183"/>
        <v>72.068215372239024</v>
      </c>
      <c r="F416" s="304">
        <f t="shared" ca="1" si="184"/>
        <v>78.587802314231965</v>
      </c>
      <c r="G416" s="306">
        <f t="shared" ca="1" si="185"/>
        <v>112.26649781381164</v>
      </c>
      <c r="H416" s="307">
        <f t="shared" ca="1" si="186"/>
        <v>293.20405959130608</v>
      </c>
      <c r="I416" s="304">
        <f t="shared" ca="1" si="187"/>
        <v>313.96239757684475</v>
      </c>
      <c r="J416" s="306">
        <f t="shared" ca="1" si="188"/>
        <v>208.55952593321166</v>
      </c>
      <c r="K416" s="307">
        <f t="shared" ca="1" si="189"/>
        <v>581.49247720211542</v>
      </c>
      <c r="L416" s="304">
        <f t="shared" ca="1" si="174"/>
        <v>617.76255705581468</v>
      </c>
      <c r="M416" s="306">
        <f t="shared" ca="1" si="190"/>
        <v>1.2051216568361864</v>
      </c>
      <c r="N416" s="304">
        <f t="shared" ca="1" si="191"/>
        <v>69.0483847365266</v>
      </c>
      <c r="P416" s="310">
        <f t="shared" ca="1" si="192"/>
        <v>14</v>
      </c>
      <c r="Q416" s="304">
        <f t="shared" ca="1" si="193"/>
        <v>2296.4050758776925</v>
      </c>
      <c r="R416" s="306">
        <f t="shared" ca="1" si="194"/>
        <v>1.3809986201178721</v>
      </c>
      <c r="S416" s="307">
        <f t="shared" ca="1" si="195"/>
        <v>18.653683687618845</v>
      </c>
      <c r="T416" s="304">
        <f t="shared" ca="1" si="175"/>
        <v>182.99263697554088</v>
      </c>
      <c r="U416" s="311">
        <f t="shared" ca="1" si="176"/>
        <v>0</v>
      </c>
      <c r="V416" s="306">
        <f t="shared" ca="1" si="177"/>
        <v>1.1557797250018067</v>
      </c>
      <c r="W416" s="304">
        <f t="shared" ca="1" si="178"/>
        <v>664.13597162711505</v>
      </c>
      <c r="Y416" s="314" t="str">
        <f t="shared" ca="1" si="196"/>
        <v/>
      </c>
      <c r="Z416" s="315" t="str">
        <f t="shared" ca="1" si="197"/>
        <v/>
      </c>
      <c r="AA416" s="316" t="str">
        <f t="shared" ca="1" si="198"/>
        <v/>
      </c>
      <c r="AC416" s="310" t="e">
        <f t="shared" ca="1" si="199"/>
        <v>#N/A</v>
      </c>
      <c r="AD416" s="323" t="e">
        <f t="shared" ca="1" si="200"/>
        <v>#N/A</v>
      </c>
      <c r="AE416" s="324">
        <f t="shared" ca="1" si="179"/>
        <v>581.49247720211542</v>
      </c>
      <c r="AG416" s="306">
        <f t="shared" ca="1" si="201"/>
        <v>78.509520499501576</v>
      </c>
      <c r="AH416" s="304">
        <f t="shared" ca="1" si="202"/>
        <v>87.671301793597962</v>
      </c>
    </row>
    <row r="417" spans="1:34" x14ac:dyDescent="0.2">
      <c r="A417" s="347">
        <f t="shared" ca="1" si="180"/>
        <v>0.01</v>
      </c>
      <c r="B417" s="304">
        <f t="shared" ca="1" si="181"/>
        <v>4.1299999999999564</v>
      </c>
      <c r="D417" s="306">
        <f t="shared" ca="1" si="182"/>
        <v>31.299520619867536</v>
      </c>
      <c r="E417" s="307">
        <f t="shared" ca="1" si="183"/>
        <v>71.934302064421672</v>
      </c>
      <c r="F417" s="304">
        <f t="shared" ca="1" si="184"/>
        <v>78.448733606916647</v>
      </c>
      <c r="G417" s="306">
        <f t="shared" ca="1" si="185"/>
        <v>112.57949302001032</v>
      </c>
      <c r="H417" s="307">
        <f t="shared" ca="1" si="186"/>
        <v>293.92340261195028</v>
      </c>
      <c r="I417" s="304">
        <f t="shared" ca="1" si="187"/>
        <v>314.74610220244057</v>
      </c>
      <c r="J417" s="306">
        <f t="shared" ca="1" si="188"/>
        <v>209.68375588738078</v>
      </c>
      <c r="K417" s="307">
        <f t="shared" ca="1" si="189"/>
        <v>584.42811451313173</v>
      </c>
      <c r="L417" s="304">
        <f t="shared" ca="1" si="174"/>
        <v>620.90538612288822</v>
      </c>
      <c r="M417" s="306">
        <f t="shared" ca="1" si="190"/>
        <v>1.2050102065505841</v>
      </c>
      <c r="N417" s="304">
        <f t="shared" ca="1" si="191"/>
        <v>69.04199910553605</v>
      </c>
      <c r="P417" s="310">
        <f t="shared" ca="1" si="192"/>
        <v>14</v>
      </c>
      <c r="Q417" s="304">
        <f t="shared" ca="1" si="193"/>
        <v>2295.7153590034004</v>
      </c>
      <c r="R417" s="306">
        <f t="shared" ca="1" si="194"/>
        <v>1.3805838422279979</v>
      </c>
      <c r="S417" s="307">
        <f t="shared" ca="1" si="195"/>
        <v>18.639877849196566</v>
      </c>
      <c r="T417" s="304">
        <f t="shared" ca="1" si="175"/>
        <v>182.85720170061833</v>
      </c>
      <c r="U417" s="311">
        <f t="shared" ca="1" si="176"/>
        <v>0</v>
      </c>
      <c r="V417" s="306">
        <f t="shared" ca="1" si="177"/>
        <v>1.1554401913625358</v>
      </c>
      <c r="W417" s="304">
        <f t="shared" ca="1" si="178"/>
        <v>667.25962844724461</v>
      </c>
      <c r="Y417" s="314" t="str">
        <f t="shared" ca="1" si="196"/>
        <v/>
      </c>
      <c r="Z417" s="315" t="str">
        <f t="shared" ca="1" si="197"/>
        <v/>
      </c>
      <c r="AA417" s="316" t="str">
        <f t="shared" ca="1" si="198"/>
        <v/>
      </c>
      <c r="AC417" s="310" t="e">
        <f t="shared" ca="1" si="199"/>
        <v>#N/A</v>
      </c>
      <c r="AD417" s="323" t="e">
        <f t="shared" ca="1" si="200"/>
        <v>#N/A</v>
      </c>
      <c r="AE417" s="324">
        <f t="shared" ca="1" si="179"/>
        <v>584.42811451313173</v>
      </c>
      <c r="AG417" s="306">
        <f t="shared" ca="1" si="201"/>
        <v>78.370267083901567</v>
      </c>
      <c r="AH417" s="304">
        <f t="shared" ca="1" si="202"/>
        <v>87.531656622235403</v>
      </c>
    </row>
    <row r="418" spans="1:34" x14ac:dyDescent="0.2">
      <c r="A418" s="347">
        <f t="shared" ca="1" si="180"/>
        <v>0.01</v>
      </c>
      <c r="B418" s="304">
        <f t="shared" ca="1" si="181"/>
        <v>4.1399999999999562</v>
      </c>
      <c r="D418" s="306">
        <f t="shared" ca="1" si="182"/>
        <v>31.258600513591556</v>
      </c>
      <c r="E418" s="307">
        <f t="shared" ca="1" si="183"/>
        <v>71.800193627443662</v>
      </c>
      <c r="F418" s="304">
        <f t="shared" ca="1" si="184"/>
        <v>78.309436921782989</v>
      </c>
      <c r="G418" s="306">
        <f t="shared" ca="1" si="185"/>
        <v>112.89207902514623</v>
      </c>
      <c r="H418" s="307">
        <f t="shared" ca="1" si="186"/>
        <v>294.64140454822473</v>
      </c>
      <c r="I418" s="304">
        <f t="shared" ca="1" si="187"/>
        <v>315.5284120024225</v>
      </c>
      <c r="J418" s="306">
        <f t="shared" ca="1" si="188"/>
        <v>210.81111374760656</v>
      </c>
      <c r="K418" s="307">
        <f t="shared" ca="1" si="189"/>
        <v>587.3709385489326</v>
      </c>
      <c r="L418" s="304">
        <f t="shared" ca="1" si="174"/>
        <v>624.05604326162904</v>
      </c>
      <c r="M418" s="306">
        <f t="shared" ca="1" si="190"/>
        <v>1.204899000231836</v>
      </c>
      <c r="N418" s="304">
        <f t="shared" ca="1" si="191"/>
        <v>69.035627452816598</v>
      </c>
      <c r="P418" s="310">
        <f t="shared" ca="1" si="192"/>
        <v>14</v>
      </c>
      <c r="Q418" s="304">
        <f t="shared" ca="1" si="193"/>
        <v>2295.0256421291083</v>
      </c>
      <c r="R418" s="306">
        <f t="shared" ca="1" si="194"/>
        <v>1.3801690643381235</v>
      </c>
      <c r="S418" s="307">
        <f t="shared" ca="1" si="195"/>
        <v>18.626076158553186</v>
      </c>
      <c r="T418" s="304">
        <f t="shared" ca="1" si="175"/>
        <v>182.72180711540676</v>
      </c>
      <c r="U418" s="311">
        <f t="shared" ca="1" si="176"/>
        <v>0</v>
      </c>
      <c r="V418" s="306">
        <f t="shared" ca="1" si="177"/>
        <v>1.1550999236988386</v>
      </c>
      <c r="W418" s="304">
        <f t="shared" ca="1" si="178"/>
        <v>670.38325321540663</v>
      </c>
      <c r="Y418" s="314" t="str">
        <f t="shared" ca="1" si="196"/>
        <v/>
      </c>
      <c r="Z418" s="315" t="str">
        <f t="shared" ca="1" si="197"/>
        <v/>
      </c>
      <c r="AA418" s="316" t="str">
        <f t="shared" ca="1" si="198"/>
        <v/>
      </c>
      <c r="AC418" s="310" t="e">
        <f t="shared" ca="1" si="199"/>
        <v>#N/A</v>
      </c>
      <c r="AD418" s="323" t="e">
        <f t="shared" ca="1" si="200"/>
        <v>#N/A</v>
      </c>
      <c r="AE418" s="324">
        <f t="shared" ca="1" si="179"/>
        <v>587.3709385489326</v>
      </c>
      <c r="AG418" s="306">
        <f t="shared" ca="1" si="201"/>
        <v>78.230784893638486</v>
      </c>
      <c r="AH418" s="304">
        <f t="shared" ca="1" si="202"/>
        <v>87.391783423712965</v>
      </c>
    </row>
    <row r="419" spans="1:34" x14ac:dyDescent="0.2">
      <c r="A419" s="347">
        <f t="shared" ca="1" si="180"/>
        <v>0.01</v>
      </c>
      <c r="B419" s="304">
        <f t="shared" ca="1" si="181"/>
        <v>4.1499999999999559</v>
      </c>
      <c r="D419" s="306">
        <f t="shared" ca="1" si="182"/>
        <v>31.217550465414817</v>
      </c>
      <c r="E419" s="307">
        <f t="shared" ca="1" si="183"/>
        <v>71.665892685403549</v>
      </c>
      <c r="F419" s="304">
        <f t="shared" ca="1" si="184"/>
        <v>78.169915130160518</v>
      </c>
      <c r="G419" s="306">
        <f t="shared" ca="1" si="185"/>
        <v>113.20425452980038</v>
      </c>
      <c r="H419" s="307">
        <f t="shared" ca="1" si="186"/>
        <v>295.35806347507878</v>
      </c>
      <c r="I419" s="304">
        <f t="shared" ca="1" si="187"/>
        <v>316.30932471774599</v>
      </c>
      <c r="J419" s="306">
        <f t="shared" ca="1" si="188"/>
        <v>211.9415954153813</v>
      </c>
      <c r="K419" s="307">
        <f t="shared" ca="1" si="189"/>
        <v>590.32093588904911</v>
      </c>
      <c r="L419" s="304">
        <f t="shared" ca="1" si="174"/>
        <v>627.21451451328835</v>
      </c>
      <c r="M419" s="306">
        <f t="shared" ca="1" si="190"/>
        <v>1.204788036255094</v>
      </c>
      <c r="N419" s="304">
        <f t="shared" ca="1" si="191"/>
        <v>69.029269685271302</v>
      </c>
      <c r="P419" s="310">
        <f t="shared" ca="1" si="192"/>
        <v>14</v>
      </c>
      <c r="Q419" s="304">
        <f t="shared" ca="1" si="193"/>
        <v>2294.3359252548162</v>
      </c>
      <c r="R419" s="306">
        <f t="shared" ca="1" si="194"/>
        <v>1.379754286448249</v>
      </c>
      <c r="S419" s="307">
        <f t="shared" ca="1" si="195"/>
        <v>18.612278615688705</v>
      </c>
      <c r="T419" s="304">
        <f t="shared" ca="1" si="175"/>
        <v>182.58645321990622</v>
      </c>
      <c r="U419" s="311">
        <f t="shared" ca="1" si="176"/>
        <v>0</v>
      </c>
      <c r="V419" s="306">
        <f t="shared" ca="1" si="177"/>
        <v>1.154758924232828</v>
      </c>
      <c r="W419" s="304">
        <f t="shared" ca="1" si="178"/>
        <v>673.50678513357764</v>
      </c>
      <c r="Y419" s="314" t="str">
        <f t="shared" ca="1" si="196"/>
        <v/>
      </c>
      <c r="Z419" s="315" t="str">
        <f t="shared" ca="1" si="197"/>
        <v/>
      </c>
      <c r="AA419" s="316" t="str">
        <f t="shared" ca="1" si="198"/>
        <v/>
      </c>
      <c r="AC419" s="310" t="e">
        <f t="shared" ca="1" si="199"/>
        <v>#N/A</v>
      </c>
      <c r="AD419" s="323" t="e">
        <f t="shared" ca="1" si="200"/>
        <v>#N/A</v>
      </c>
      <c r="AE419" s="324">
        <f t="shared" ca="1" si="179"/>
        <v>590.32093588904911</v>
      </c>
      <c r="AG419" s="306">
        <f t="shared" ca="1" si="201"/>
        <v>78.091076796448903</v>
      </c>
      <c r="AH419" s="304">
        <f t="shared" ca="1" si="202"/>
        <v>87.251685060771848</v>
      </c>
    </row>
    <row r="420" spans="1:34" x14ac:dyDescent="0.2">
      <c r="A420" s="347">
        <f t="shared" ca="1" si="180"/>
        <v>0.01</v>
      </c>
      <c r="B420" s="304">
        <f t="shared" ca="1" si="181"/>
        <v>4.1599999999999557</v>
      </c>
      <c r="D420" s="306">
        <f t="shared" ca="1" si="182"/>
        <v>31.176371661534859</v>
      </c>
      <c r="E420" s="307">
        <f t="shared" ca="1" si="183"/>
        <v>71.531401861413713</v>
      </c>
      <c r="F420" s="304">
        <f t="shared" ca="1" si="184"/>
        <v>78.030171102191076</v>
      </c>
      <c r="G420" s="306">
        <f t="shared" ca="1" si="185"/>
        <v>113.51601824641573</v>
      </c>
      <c r="H420" s="307">
        <f t="shared" ca="1" si="186"/>
        <v>296.07337749369293</v>
      </c>
      <c r="I420" s="304">
        <f t="shared" ca="1" si="187"/>
        <v>317.08883811803179</v>
      </c>
      <c r="J420" s="306">
        <f t="shared" ca="1" si="188"/>
        <v>213.07519677926237</v>
      </c>
      <c r="K420" s="307">
        <f t="shared" ca="1" si="189"/>
        <v>593.27809309389295</v>
      </c>
      <c r="L420" s="304">
        <f t="shared" ca="1" si="174"/>
        <v>630.38078589662553</v>
      </c>
      <c r="M420" s="306">
        <f t="shared" ca="1" si="190"/>
        <v>1.2046773130094623</v>
      </c>
      <c r="N420" s="304">
        <f t="shared" ca="1" si="191"/>
        <v>69.022925710602607</v>
      </c>
      <c r="P420" s="310">
        <f t="shared" ca="1" si="192"/>
        <v>14</v>
      </c>
      <c r="Q420" s="304">
        <f t="shared" ca="1" si="193"/>
        <v>2293.6462083805236</v>
      </c>
      <c r="R420" s="306">
        <f t="shared" ca="1" si="194"/>
        <v>1.3793395085583744</v>
      </c>
      <c r="S420" s="307">
        <f t="shared" ca="1" si="195"/>
        <v>18.59848522060312</v>
      </c>
      <c r="T420" s="304">
        <f t="shared" ca="1" si="175"/>
        <v>182.45114001411662</v>
      </c>
      <c r="U420" s="311">
        <f t="shared" ca="1" si="176"/>
        <v>0</v>
      </c>
      <c r="V420" s="306">
        <f t="shared" ca="1" si="177"/>
        <v>1.1544171951881965</v>
      </c>
      <c r="W420" s="304">
        <f t="shared" ca="1" si="178"/>
        <v>676.63016359095093</v>
      </c>
      <c r="Y420" s="314" t="str">
        <f t="shared" ca="1" si="196"/>
        <v/>
      </c>
      <c r="Z420" s="315" t="str">
        <f t="shared" ca="1" si="197"/>
        <v/>
      </c>
      <c r="AA420" s="316" t="str">
        <f t="shared" ca="1" si="198"/>
        <v/>
      </c>
      <c r="AC420" s="310" t="e">
        <f t="shared" ca="1" si="199"/>
        <v>#N/A</v>
      </c>
      <c r="AD420" s="323" t="e">
        <f t="shared" ca="1" si="200"/>
        <v>#N/A</v>
      </c>
      <c r="AE420" s="324">
        <f t="shared" ca="1" si="179"/>
        <v>593.27809309389295</v>
      </c>
      <c r="AG420" s="306">
        <f t="shared" ca="1" si="201"/>
        <v>77.95114565887323</v>
      </c>
      <c r="AH420" s="304">
        <f t="shared" ca="1" si="202"/>
        <v>87.111364394998162</v>
      </c>
    </row>
    <row r="421" spans="1:34" x14ac:dyDescent="0.2">
      <c r="A421" s="347">
        <f t="shared" ca="1" si="180"/>
        <v>0.01</v>
      </c>
      <c r="B421" s="304">
        <f t="shared" ca="1" si="181"/>
        <v>4.1699999999999555</v>
      </c>
      <c r="D421" s="306">
        <f t="shared" ca="1" si="182"/>
        <v>31.135065287160234</v>
      </c>
      <c r="E421" s="307">
        <f t="shared" ca="1" si="183"/>
        <v>71.396723777480943</v>
      </c>
      <c r="F421" s="304">
        <f t="shared" ca="1" si="184"/>
        <v>77.89020770670497</v>
      </c>
      <c r="G421" s="306">
        <f t="shared" ca="1" si="185"/>
        <v>113.82736889928732</v>
      </c>
      <c r="H421" s="307">
        <f t="shared" ca="1" si="186"/>
        <v>296.78734473146773</v>
      </c>
      <c r="I421" s="304">
        <f t="shared" ca="1" si="187"/>
        <v>317.86695000155254</v>
      </c>
      <c r="J421" s="306">
        <f t="shared" ca="1" si="188"/>
        <v>214.21191371499089</v>
      </c>
      <c r="K421" s="307">
        <f t="shared" ca="1" si="189"/>
        <v>596.24239670501879</v>
      </c>
      <c r="L421" s="304">
        <f t="shared" ca="1" si="174"/>
        <v>633.55484340819601</v>
      </c>
      <c r="M421" s="306">
        <f t="shared" ca="1" si="190"/>
        <v>1.2045668288978368</v>
      </c>
      <c r="N421" s="304">
        <f t="shared" ca="1" si="191"/>
        <v>69.016595437303224</v>
      </c>
      <c r="P421" s="310">
        <f t="shared" ca="1" si="192"/>
        <v>14</v>
      </c>
      <c r="Q421" s="304">
        <f t="shared" ca="1" si="193"/>
        <v>2292.9564915062315</v>
      </c>
      <c r="R421" s="306">
        <f t="shared" ca="1" si="194"/>
        <v>1.3789247306685</v>
      </c>
      <c r="S421" s="307">
        <f t="shared" ca="1" si="195"/>
        <v>18.584695973296434</v>
      </c>
      <c r="T421" s="304">
        <f t="shared" ca="1" si="175"/>
        <v>182.31586749803802</v>
      </c>
      <c r="U421" s="311">
        <f t="shared" ca="1" si="176"/>
        <v>0</v>
      </c>
      <c r="V421" s="306">
        <f t="shared" ca="1" si="177"/>
        <v>1.1540747387901691</v>
      </c>
      <c r="W421" s="304">
        <f t="shared" ca="1" si="178"/>
        <v>679.75332816602656</v>
      </c>
      <c r="Y421" s="314" t="str">
        <f t="shared" ca="1" si="196"/>
        <v/>
      </c>
      <c r="Z421" s="315" t="str">
        <f t="shared" ca="1" si="197"/>
        <v/>
      </c>
      <c r="AA421" s="316" t="str">
        <f t="shared" ca="1" si="198"/>
        <v/>
      </c>
      <c r="AC421" s="310" t="e">
        <f t="shared" ca="1" si="199"/>
        <v>#N/A</v>
      </c>
      <c r="AD421" s="323" t="e">
        <f t="shared" ca="1" si="200"/>
        <v>#N/A</v>
      </c>
      <c r="AE421" s="324">
        <f t="shared" ca="1" si="179"/>
        <v>596.24239670501879</v>
      </c>
      <c r="AG421" s="306">
        <f t="shared" ca="1" si="201"/>
        <v>77.810994346131764</v>
      </c>
      <c r="AH421" s="304">
        <f t="shared" ca="1" si="202"/>
        <v>86.970824286698686</v>
      </c>
    </row>
    <row r="422" spans="1:34" x14ac:dyDescent="0.2">
      <c r="A422" s="347">
        <f t="shared" ca="1" si="180"/>
        <v>0.01</v>
      </c>
      <c r="B422" s="304">
        <f t="shared" ca="1" si="181"/>
        <v>4.1799999999999553</v>
      </c>
      <c r="D422" s="306">
        <f t="shared" ca="1" si="182"/>
        <v>31.09363252647837</v>
      </c>
      <c r="E422" s="307">
        <f t="shared" ca="1" si="183"/>
        <v>71.261861054387339</v>
      </c>
      <c r="F422" s="304">
        <f t="shared" ca="1" si="184"/>
        <v>77.750027811097794</v>
      </c>
      <c r="G422" s="306">
        <f t="shared" ca="1" si="185"/>
        <v>114.1383052245521</v>
      </c>
      <c r="H422" s="307">
        <f t="shared" ca="1" si="186"/>
        <v>297.4999633420116</v>
      </c>
      <c r="I422" s="304">
        <f t="shared" ca="1" si="187"/>
        <v>318.64365819521856</v>
      </c>
      <c r="J422" s="306">
        <f t="shared" ca="1" si="188"/>
        <v>215.35174208561008</v>
      </c>
      <c r="K422" s="307">
        <f t="shared" ca="1" si="189"/>
        <v>599.21383324538624</v>
      </c>
      <c r="L422" s="304">
        <f t="shared" ca="1" si="174"/>
        <v>636.73667302263709</v>
      </c>
      <c r="M422" s="306">
        <f t="shared" ca="1" si="190"/>
        <v>1.2044565823367501</v>
      </c>
      <c r="N422" s="304">
        <f t="shared" ca="1" si="191"/>
        <v>69.010278774647119</v>
      </c>
      <c r="P422" s="310">
        <f t="shared" ca="1" si="192"/>
        <v>14</v>
      </c>
      <c r="Q422" s="304">
        <f t="shared" ca="1" si="193"/>
        <v>2292.2667746319394</v>
      </c>
      <c r="R422" s="306">
        <f t="shared" ca="1" si="194"/>
        <v>1.3785099527786255</v>
      </c>
      <c r="S422" s="307">
        <f t="shared" ca="1" si="195"/>
        <v>18.570910873768646</v>
      </c>
      <c r="T422" s="304">
        <f t="shared" ca="1" si="175"/>
        <v>182.18063567167042</v>
      </c>
      <c r="U422" s="311">
        <f t="shared" ca="1" si="176"/>
        <v>0</v>
      </c>
      <c r="V422" s="306">
        <f t="shared" ca="1" si="177"/>
        <v>1.1537315572654598</v>
      </c>
      <c r="W422" s="304">
        <f t="shared" ca="1" si="178"/>
        <v>682.87621862868264</v>
      </c>
      <c r="Y422" s="314" t="str">
        <f t="shared" ca="1" si="196"/>
        <v/>
      </c>
      <c r="Z422" s="315" t="str">
        <f t="shared" ca="1" si="197"/>
        <v/>
      </c>
      <c r="AA422" s="316" t="str">
        <f t="shared" ca="1" si="198"/>
        <v/>
      </c>
      <c r="AC422" s="310" t="e">
        <f t="shared" ca="1" si="199"/>
        <v>#N/A</v>
      </c>
      <c r="AD422" s="323" t="e">
        <f t="shared" ca="1" si="200"/>
        <v>#N/A</v>
      </c>
      <c r="AE422" s="324">
        <f t="shared" ca="1" si="179"/>
        <v>599.21383324538624</v>
      </c>
      <c r="AG422" s="306">
        <f t="shared" ca="1" si="201"/>
        <v>77.670625722001475</v>
      </c>
      <c r="AH422" s="304">
        <f t="shared" ca="1" si="202"/>
        <v>86.830067594777105</v>
      </c>
    </row>
    <row r="423" spans="1:34" x14ac:dyDescent="0.2">
      <c r="A423" s="347">
        <f t="shared" ca="1" si="180"/>
        <v>0.01</v>
      </c>
      <c r="B423" s="304">
        <f t="shared" ca="1" si="181"/>
        <v>4.1899999999999551</v>
      </c>
      <c r="D423" s="306">
        <f t="shared" ca="1" si="182"/>
        <v>31.052074562622973</v>
      </c>
      <c r="E423" s="307">
        <f t="shared" ca="1" si="183"/>
        <v>71.12681631157227</v>
      </c>
      <c r="F423" s="304">
        <f t="shared" ca="1" si="184"/>
        <v>77.609634281207889</v>
      </c>
      <c r="G423" s="306">
        <f t="shared" ca="1" si="185"/>
        <v>114.44882597017833</v>
      </c>
      <c r="H423" s="307">
        <f t="shared" ca="1" si="186"/>
        <v>298.21123150512733</v>
      </c>
      <c r="I423" s="304">
        <f t="shared" ca="1" si="187"/>
        <v>319.41896055456198</v>
      </c>
      <c r="J423" s="306">
        <f t="shared" ca="1" si="188"/>
        <v>216.49467774158373</v>
      </c>
      <c r="K423" s="307">
        <f t="shared" ca="1" si="189"/>
        <v>602.19238921962199</v>
      </c>
      <c r="L423" s="304">
        <f t="shared" ca="1" si="174"/>
        <v>639.92626069295579</v>
      </c>
      <c r="M423" s="306">
        <f t="shared" ca="1" si="190"/>
        <v>1.2043465717562167</v>
      </c>
      <c r="N423" s="304">
        <f t="shared" ca="1" si="191"/>
        <v>69.003975632680778</v>
      </c>
      <c r="P423" s="310">
        <f t="shared" ca="1" si="192"/>
        <v>14</v>
      </c>
      <c r="Q423" s="304">
        <f t="shared" ca="1" si="193"/>
        <v>2291.5770577576473</v>
      </c>
      <c r="R423" s="306">
        <f t="shared" ca="1" si="194"/>
        <v>1.3780951748887511</v>
      </c>
      <c r="S423" s="307">
        <f t="shared" ca="1" si="195"/>
        <v>18.557129922019758</v>
      </c>
      <c r="T423" s="304">
        <f t="shared" ca="1" si="175"/>
        <v>182.04544453501384</v>
      </c>
      <c r="U423" s="311">
        <f t="shared" ca="1" si="176"/>
        <v>0</v>
      </c>
      <c r="V423" s="306">
        <f t="shared" ca="1" si="177"/>
        <v>1.1533876528422249</v>
      </c>
      <c r="W423" s="304">
        <f t="shared" ca="1" si="178"/>
        <v>685.99877494222426</v>
      </c>
      <c r="Y423" s="314" t="str">
        <f t="shared" ca="1" si="196"/>
        <v/>
      </c>
      <c r="Z423" s="315" t="str">
        <f t="shared" ca="1" si="197"/>
        <v/>
      </c>
      <c r="AA423" s="316" t="str">
        <f t="shared" ca="1" si="198"/>
        <v/>
      </c>
      <c r="AC423" s="310" t="e">
        <f t="shared" ca="1" si="199"/>
        <v>#N/A</v>
      </c>
      <c r="AD423" s="323" t="e">
        <f t="shared" ca="1" si="200"/>
        <v>#N/A</v>
      </c>
      <c r="AE423" s="324">
        <f t="shared" ca="1" si="179"/>
        <v>602.19238921962199</v>
      </c>
      <c r="AG423" s="306">
        <f t="shared" ca="1" si="201"/>
        <v>77.530042648693325</v>
      </c>
      <c r="AH423" s="304">
        <f t="shared" ca="1" si="202"/>
        <v>86.6890971766109</v>
      </c>
    </row>
    <row r="424" spans="1:34" x14ac:dyDescent="0.2">
      <c r="A424" s="347">
        <f t="shared" ca="1" si="180"/>
        <v>0.01</v>
      </c>
      <c r="B424" s="304">
        <f t="shared" ca="1" si="181"/>
        <v>4.1999999999999549</v>
      </c>
      <c r="D424" s="306">
        <f t="shared" ca="1" si="182"/>
        <v>31.010392577641582</v>
      </c>
      <c r="E424" s="307">
        <f t="shared" ca="1" si="183"/>
        <v>70.991592167014403</v>
      </c>
      <c r="F424" s="304">
        <f t="shared" ca="1" si="184"/>
        <v>77.469029981194083</v>
      </c>
      <c r="G424" s="306">
        <f t="shared" ca="1" si="185"/>
        <v>114.75892989595475</v>
      </c>
      <c r="H424" s="307">
        <f t="shared" ca="1" si="186"/>
        <v>298.92114742679746</v>
      </c>
      <c r="I424" s="304">
        <f t="shared" ca="1" si="187"/>
        <v>320.19285496372004</v>
      </c>
      <c r="J424" s="306">
        <f t="shared" ca="1" si="188"/>
        <v>217.6407165209144</v>
      </c>
      <c r="K424" s="307">
        <f t="shared" ca="1" si="189"/>
        <v>605.17805111428163</v>
      </c>
      <c r="L424" s="304">
        <f t="shared" ca="1" si="174"/>
        <v>643.12359235081487</v>
      </c>
      <c r="M424" s="306">
        <f t="shared" ca="1" si="190"/>
        <v>1.2042367955995812</v>
      </c>
      <c r="N424" s="304">
        <f t="shared" ca="1" si="191"/>
        <v>68.997685922214387</v>
      </c>
      <c r="P424" s="310">
        <f t="shared" ca="1" si="192"/>
        <v>14</v>
      </c>
      <c r="Q424" s="304">
        <f t="shared" ca="1" si="193"/>
        <v>2290.8873408833551</v>
      </c>
      <c r="R424" s="306">
        <f t="shared" ca="1" si="194"/>
        <v>1.3776803969988767</v>
      </c>
      <c r="S424" s="307">
        <f t="shared" ca="1" si="195"/>
        <v>18.543353118049769</v>
      </c>
      <c r="T424" s="304">
        <f t="shared" ca="1" si="175"/>
        <v>181.91029408806824</v>
      </c>
      <c r="U424" s="311">
        <f t="shared" ca="1" si="176"/>
        <v>0</v>
      </c>
      <c r="V424" s="306">
        <f t="shared" ca="1" si="177"/>
        <v>1.153043027750017</v>
      </c>
      <c r="W424" s="304">
        <f t="shared" ca="1" si="178"/>
        <v>689.12093726541207</v>
      </c>
      <c r="Y424" s="314" t="str">
        <f t="shared" ca="1" si="196"/>
        <v/>
      </c>
      <c r="Z424" s="315" t="str">
        <f t="shared" ca="1" si="197"/>
        <v/>
      </c>
      <c r="AA424" s="316" t="str">
        <f t="shared" ca="1" si="198"/>
        <v/>
      </c>
      <c r="AC424" s="310" t="e">
        <f t="shared" ca="1" si="199"/>
        <v>#N/A</v>
      </c>
      <c r="AD424" s="323" t="e">
        <f t="shared" ca="1" si="200"/>
        <v>#N/A</v>
      </c>
      <c r="AE424" s="324">
        <f t="shared" ca="1" si="179"/>
        <v>605.17805111428163</v>
      </c>
      <c r="AG424" s="306">
        <f t="shared" ca="1" si="201"/>
        <v>77.389247986729998</v>
      </c>
      <c r="AH424" s="304">
        <f t="shared" ca="1" si="202"/>
        <v>86.547915887928639</v>
      </c>
    </row>
    <row r="425" spans="1:34" x14ac:dyDescent="0.2">
      <c r="A425" s="347">
        <f t="shared" ca="1" si="180"/>
        <v>0.01</v>
      </c>
      <c r="B425" s="304">
        <f t="shared" ca="1" si="181"/>
        <v>4.2099999999999547</v>
      </c>
      <c r="D425" s="306">
        <f t="shared" ca="1" si="182"/>
        <v>30.968587752463122</v>
      </c>
      <c r="E425" s="307">
        <f t="shared" ca="1" si="183"/>
        <v>70.856191237114857</v>
      </c>
      <c r="F425" s="304">
        <f t="shared" ca="1" si="184"/>
        <v>77.32821777341438</v>
      </c>
      <c r="G425" s="306">
        <f t="shared" ca="1" si="185"/>
        <v>115.06861577347938</v>
      </c>
      <c r="H425" s="307">
        <f t="shared" ca="1" si="186"/>
        <v>299.62970933916858</v>
      </c>
      <c r="I425" s="304">
        <f t="shared" ca="1" si="187"/>
        <v>320.96533933541684</v>
      </c>
      <c r="J425" s="306">
        <f t="shared" ca="1" si="188"/>
        <v>218.78985424926157</v>
      </c>
      <c r="K425" s="307">
        <f t="shared" ca="1" si="189"/>
        <v>608.1708053981115</v>
      </c>
      <c r="L425" s="304">
        <f t="shared" ca="1" si="174"/>
        <v>646.32865390681911</v>
      </c>
      <c r="M425" s="306">
        <f t="shared" ca="1" si="190"/>
        <v>1.2041272523233679</v>
      </c>
      <c r="N425" s="304">
        <f t="shared" ca="1" si="191"/>
        <v>68.99140955481333</v>
      </c>
      <c r="P425" s="310">
        <f t="shared" ca="1" si="192"/>
        <v>14</v>
      </c>
      <c r="Q425" s="304">
        <f t="shared" ca="1" si="193"/>
        <v>2290.197624009063</v>
      </c>
      <c r="R425" s="306">
        <f t="shared" ca="1" si="194"/>
        <v>1.3772656191090022</v>
      </c>
      <c r="S425" s="307">
        <f t="shared" ca="1" si="195"/>
        <v>18.529580461858679</v>
      </c>
      <c r="T425" s="304">
        <f t="shared" ca="1" si="175"/>
        <v>181.77518433083364</v>
      </c>
      <c r="U425" s="311">
        <f t="shared" ca="1" si="176"/>
        <v>0</v>
      </c>
      <c r="V425" s="306">
        <f t="shared" ca="1" si="177"/>
        <v>1.1526976842197425</v>
      </c>
      <c r="W425" s="304">
        <f t="shared" ca="1" si="178"/>
        <v>692.24264595447153</v>
      </c>
      <c r="Y425" s="314" t="str">
        <f t="shared" ca="1" si="196"/>
        <v/>
      </c>
      <c r="Z425" s="315" t="str">
        <f t="shared" ca="1" si="197"/>
        <v/>
      </c>
      <c r="AA425" s="316" t="str">
        <f t="shared" ca="1" si="198"/>
        <v/>
      </c>
      <c r="AC425" s="310" t="e">
        <f t="shared" ca="1" si="199"/>
        <v>#N/A</v>
      </c>
      <c r="AD425" s="323" t="e">
        <f t="shared" ca="1" si="200"/>
        <v>#N/A</v>
      </c>
      <c r="AE425" s="324">
        <f t="shared" ca="1" si="179"/>
        <v>608.1708053981115</v>
      </c>
      <c r="AG425" s="306">
        <f t="shared" ca="1" si="201"/>
        <v>77.248244594824484</v>
      </c>
      <c r="AH425" s="304">
        <f t="shared" ca="1" si="202"/>
        <v>86.406526582688159</v>
      </c>
    </row>
    <row r="426" spans="1:34" x14ac:dyDescent="0.2">
      <c r="A426" s="347">
        <f t="shared" ca="1" si="180"/>
        <v>0.01</v>
      </c>
      <c r="B426" s="304">
        <f t="shared" ca="1" si="181"/>
        <v>4.2199999999999545</v>
      </c>
      <c r="D426" s="306">
        <f t="shared" ca="1" si="182"/>
        <v>30.926661266865224</v>
      </c>
      <c r="E426" s="307">
        <f t="shared" ca="1" si="183"/>
        <v>70.72061613658056</v>
      </c>
      <c r="F426" s="304">
        <f t="shared" ca="1" si="184"/>
        <v>77.187200518304849</v>
      </c>
      <c r="G426" s="306">
        <f t="shared" ca="1" si="185"/>
        <v>115.37788238614803</v>
      </c>
      <c r="H426" s="307">
        <f t="shared" ca="1" si="186"/>
        <v>300.33691550053442</v>
      </c>
      <c r="I426" s="304">
        <f t="shared" ca="1" si="187"/>
        <v>321.73641161094429</v>
      </c>
      <c r="J426" s="306">
        <f t="shared" ca="1" si="188"/>
        <v>219.94208674005969</v>
      </c>
      <c r="K426" s="307">
        <f t="shared" ca="1" si="189"/>
        <v>611.17063852231001</v>
      </c>
      <c r="L426" s="304">
        <f t="shared" ca="1" si="174"/>
        <v>649.54143125080179</v>
      </c>
      <c r="M426" s="306">
        <f t="shared" ca="1" si="190"/>
        <v>1.2040179403971349</v>
      </c>
      <c r="N426" s="304">
        <f t="shared" ca="1" si="191"/>
        <v>68.985146442789741</v>
      </c>
      <c r="P426" s="310">
        <f t="shared" ca="1" si="192"/>
        <v>14</v>
      </c>
      <c r="Q426" s="304">
        <f t="shared" ca="1" si="193"/>
        <v>2289.5079071347709</v>
      </c>
      <c r="R426" s="306">
        <f t="shared" ca="1" si="194"/>
        <v>1.3768508412191278</v>
      </c>
      <c r="S426" s="307">
        <f t="shared" ca="1" si="195"/>
        <v>18.515811953446487</v>
      </c>
      <c r="T426" s="304">
        <f t="shared" ca="1" si="175"/>
        <v>181.64011526331004</v>
      </c>
      <c r="U426" s="311">
        <f t="shared" ca="1" si="176"/>
        <v>0</v>
      </c>
      <c r="V426" s="306">
        <f t="shared" ca="1" si="177"/>
        <v>1.1523516244836147</v>
      </c>
      <c r="W426" s="304">
        <f t="shared" ca="1" si="178"/>
        <v>695.36384156507995</v>
      </c>
      <c r="Y426" s="314" t="str">
        <f t="shared" ca="1" si="196"/>
        <v/>
      </c>
      <c r="Z426" s="315" t="str">
        <f t="shared" ca="1" si="197"/>
        <v/>
      </c>
      <c r="AA426" s="316" t="str">
        <f t="shared" ca="1" si="198"/>
        <v/>
      </c>
      <c r="AC426" s="310" t="e">
        <f t="shared" ca="1" si="199"/>
        <v>#N/A</v>
      </c>
      <c r="AD426" s="323" t="e">
        <f t="shared" ca="1" si="200"/>
        <v>#N/A</v>
      </c>
      <c r="AE426" s="324">
        <f t="shared" ca="1" si="179"/>
        <v>611.17063852231001</v>
      </c>
      <c r="AG426" s="306">
        <f t="shared" ca="1" si="201"/>
        <v>77.107035329758816</v>
      </c>
      <c r="AH426" s="304">
        <f t="shared" ca="1" si="202"/>
        <v>86.264932112954867</v>
      </c>
    </row>
    <row r="427" spans="1:34" x14ac:dyDescent="0.2">
      <c r="A427" s="347">
        <f t="shared" ca="1" si="180"/>
        <v>0.01</v>
      </c>
      <c r="B427" s="304">
        <f t="shared" ca="1" si="181"/>
        <v>4.2299999999999542</v>
      </c>
      <c r="D427" s="306">
        <f t="shared" ca="1" si="182"/>
        <v>30.884614299441651</v>
      </c>
      <c r="E427" s="307">
        <f t="shared" ca="1" si="183"/>
        <v>70.584869478308519</v>
      </c>
      <c r="F427" s="304">
        <f t="shared" ca="1" si="184"/>
        <v>77.045981074259316</v>
      </c>
      <c r="G427" s="306">
        <f t="shared" ca="1" si="185"/>
        <v>115.68672852914244</v>
      </c>
      <c r="H427" s="307">
        <f t="shared" ca="1" si="186"/>
        <v>301.04276419531749</v>
      </c>
      <c r="I427" s="304">
        <f t="shared" ca="1" si="187"/>
        <v>322.50606976014114</v>
      </c>
      <c r="J427" s="306">
        <f t="shared" ca="1" si="188"/>
        <v>221.09740979463615</v>
      </c>
      <c r="K427" s="307">
        <f t="shared" ca="1" si="189"/>
        <v>614.17753692078929</v>
      </c>
      <c r="L427" s="304">
        <f t="shared" ca="1" si="174"/>
        <v>652.76191025211074</v>
      </c>
      <c r="M427" s="306">
        <f t="shared" ca="1" si="190"/>
        <v>1.2039088583033262</v>
      </c>
      <c r="N427" s="304">
        <f t="shared" ca="1" si="191"/>
        <v>68.97889649919405</v>
      </c>
      <c r="P427" s="310">
        <f t="shared" ca="1" si="192"/>
        <v>14</v>
      </c>
      <c r="Q427" s="304">
        <f t="shared" ca="1" si="193"/>
        <v>2288.8181902604788</v>
      </c>
      <c r="R427" s="306">
        <f t="shared" ca="1" si="194"/>
        <v>1.3764360633292534</v>
      </c>
      <c r="S427" s="307">
        <f t="shared" ca="1" si="195"/>
        <v>18.502047592813195</v>
      </c>
      <c r="T427" s="304">
        <f t="shared" ca="1" si="175"/>
        <v>181.50508688549746</v>
      </c>
      <c r="U427" s="311">
        <f t="shared" ca="1" si="176"/>
        <v>0</v>
      </c>
      <c r="V427" s="306">
        <f t="shared" ca="1" si="177"/>
        <v>1.1520048507751088</v>
      </c>
      <c r="W427" s="304">
        <f t="shared" ca="1" si="178"/>
        <v>698.48446485433033</v>
      </c>
      <c r="Y427" s="314" t="str">
        <f t="shared" ca="1" si="196"/>
        <v/>
      </c>
      <c r="Z427" s="315" t="str">
        <f t="shared" ca="1" si="197"/>
        <v/>
      </c>
      <c r="AA427" s="316" t="str">
        <f t="shared" ca="1" si="198"/>
        <v/>
      </c>
      <c r="AC427" s="310" t="e">
        <f t="shared" ca="1" si="199"/>
        <v>#N/A</v>
      </c>
      <c r="AD427" s="323" t="e">
        <f t="shared" ca="1" si="200"/>
        <v>#N/A</v>
      </c>
      <c r="AE427" s="324">
        <f t="shared" ca="1" si="179"/>
        <v>614.17753692078929</v>
      </c>
      <c r="AG427" s="306">
        <f t="shared" ca="1" si="201"/>
        <v>76.965623046263843</v>
      </c>
      <c r="AH427" s="304">
        <f t="shared" ca="1" si="202"/>
        <v>86.123135328781075</v>
      </c>
    </row>
    <row r="428" spans="1:34" x14ac:dyDescent="0.2">
      <c r="A428" s="347">
        <f t="shared" ca="1" si="180"/>
        <v>0.01</v>
      </c>
      <c r="B428" s="304">
        <f t="shared" ca="1" si="181"/>
        <v>4.239999999999954</v>
      </c>
      <c r="D428" s="306">
        <f t="shared" ca="1" si="182"/>
        <v>30.842448027569798</v>
      </c>
      <c r="E428" s="307">
        <f t="shared" ca="1" si="183"/>
        <v>70.448953873270682</v>
      </c>
      <c r="F428" s="304">
        <f t="shared" ca="1" si="184"/>
        <v>76.904562297509784</v>
      </c>
      <c r="G428" s="306">
        <f t="shared" ca="1" si="185"/>
        <v>115.99515300941815</v>
      </c>
      <c r="H428" s="307">
        <f t="shared" ca="1" si="186"/>
        <v>301.74725373405022</v>
      </c>
      <c r="I428" s="304">
        <f t="shared" ca="1" si="187"/>
        <v>323.27431178137186</v>
      </c>
      <c r="J428" s="306">
        <f t="shared" ca="1" si="188"/>
        <v>222.25581920232895</v>
      </c>
      <c r="K428" s="307">
        <f t="shared" ca="1" si="189"/>
        <v>617.19148701043616</v>
      </c>
      <c r="L428" s="304">
        <f t="shared" ca="1" si="174"/>
        <v>655.99007675989412</v>
      </c>
      <c r="M428" s="306">
        <f t="shared" ca="1" si="190"/>
        <v>1.2038000045371295</v>
      </c>
      <c r="N428" s="304">
        <f t="shared" ca="1" si="191"/>
        <v>68.972659637806871</v>
      </c>
      <c r="P428" s="310">
        <f t="shared" ca="1" si="192"/>
        <v>14</v>
      </c>
      <c r="Q428" s="304">
        <f t="shared" ca="1" si="193"/>
        <v>2288.1284733861867</v>
      </c>
      <c r="R428" s="306">
        <f t="shared" ca="1" si="194"/>
        <v>1.376021285439379</v>
      </c>
      <c r="S428" s="307">
        <f t="shared" ca="1" si="195"/>
        <v>18.488287379958802</v>
      </c>
      <c r="T428" s="304">
        <f t="shared" ca="1" si="175"/>
        <v>181.37009919739586</v>
      </c>
      <c r="U428" s="311">
        <f t="shared" ca="1" si="176"/>
        <v>0</v>
      </c>
      <c r="V428" s="306">
        <f t="shared" ca="1" si="177"/>
        <v>1.151657365328917</v>
      </c>
      <c r="W428" s="304">
        <f t="shared" ca="1" si="178"/>
        <v>701.60445678267843</v>
      </c>
      <c r="Y428" s="314" t="str">
        <f t="shared" ca="1" si="196"/>
        <v/>
      </c>
      <c r="Z428" s="315" t="str">
        <f t="shared" ca="1" si="197"/>
        <v/>
      </c>
      <c r="AA428" s="316" t="str">
        <f t="shared" ca="1" si="198"/>
        <v/>
      </c>
      <c r="AC428" s="310" t="e">
        <f t="shared" ca="1" si="199"/>
        <v>#N/A</v>
      </c>
      <c r="AD428" s="323" t="e">
        <f t="shared" ca="1" si="200"/>
        <v>#N/A</v>
      </c>
      <c r="AE428" s="324">
        <f t="shared" ca="1" si="179"/>
        <v>617.19148701043616</v>
      </c>
      <c r="AG428" s="306">
        <f t="shared" ca="1" si="201"/>
        <v>76.824010596899441</v>
      </c>
      <c r="AH428" s="304">
        <f t="shared" ca="1" si="202"/>
        <v>85.981139078085803</v>
      </c>
    </row>
    <row r="429" spans="1:34" x14ac:dyDescent="0.2">
      <c r="A429" s="347">
        <f t="shared" ca="1" si="180"/>
        <v>0.01</v>
      </c>
      <c r="B429" s="304">
        <f t="shared" ca="1" si="181"/>
        <v>4.2499999999999538</v>
      </c>
      <c r="D429" s="306">
        <f t="shared" ca="1" si="182"/>
        <v>30.800163627377941</v>
      </c>
      <c r="E429" s="307">
        <f t="shared" ca="1" si="183"/>
        <v>70.312871930399268</v>
      </c>
      <c r="F429" s="304">
        <f t="shared" ca="1" si="184"/>
        <v>76.762947042007085</v>
      </c>
      <c r="G429" s="306">
        <f t="shared" ca="1" si="185"/>
        <v>116.30315464569193</v>
      </c>
      <c r="H429" s="307">
        <f t="shared" ca="1" si="186"/>
        <v>302.45038245335422</v>
      </c>
      <c r="I429" s="304">
        <f t="shared" ca="1" si="187"/>
        <v>324.04113570150315</v>
      </c>
      <c r="J429" s="306">
        <f t="shared" ca="1" si="188"/>
        <v>223.41731074060451</v>
      </c>
      <c r="K429" s="307">
        <f t="shared" ca="1" si="189"/>
        <v>620.21247519137319</v>
      </c>
      <c r="L429" s="304">
        <f t="shared" ca="1" si="174"/>
        <v>659.22591660338526</v>
      </c>
      <c r="M429" s="306">
        <f t="shared" ca="1" si="190"/>
        <v>1.2036913776063347</v>
      </c>
      <c r="N429" s="304">
        <f t="shared" ca="1" si="191"/>
        <v>68.966435773130868</v>
      </c>
      <c r="P429" s="310">
        <f t="shared" ca="1" si="192"/>
        <v>14</v>
      </c>
      <c r="Q429" s="304">
        <f t="shared" ca="1" si="193"/>
        <v>2287.4387565118941</v>
      </c>
      <c r="R429" s="306">
        <f t="shared" ca="1" si="194"/>
        <v>1.3756065075495043</v>
      </c>
      <c r="S429" s="307">
        <f t="shared" ca="1" si="195"/>
        <v>18.474531314883308</v>
      </c>
      <c r="T429" s="304">
        <f t="shared" ca="1" si="175"/>
        <v>181.23515219900526</v>
      </c>
      <c r="U429" s="311">
        <f t="shared" ca="1" si="176"/>
        <v>0</v>
      </c>
      <c r="V429" s="306">
        <f t="shared" ca="1" si="177"/>
        <v>1.1513091703809051</v>
      </c>
      <c r="W429" s="304">
        <f t="shared" ca="1" si="178"/>
        <v>704.72375851586571</v>
      </c>
      <c r="Y429" s="314" t="str">
        <f t="shared" ca="1" si="196"/>
        <v/>
      </c>
      <c r="Z429" s="315" t="str">
        <f t="shared" ca="1" si="197"/>
        <v/>
      </c>
      <c r="AA429" s="316" t="str">
        <f t="shared" ca="1" si="198"/>
        <v/>
      </c>
      <c r="AC429" s="310" t="e">
        <f t="shared" ca="1" si="199"/>
        <v>#N/A</v>
      </c>
      <c r="AD429" s="323" t="e">
        <f t="shared" ca="1" si="200"/>
        <v>#N/A</v>
      </c>
      <c r="AE429" s="324">
        <f t="shared" ca="1" si="179"/>
        <v>620.21247519137319</v>
      </c>
      <c r="AG429" s="306">
        <f t="shared" ca="1" si="201"/>
        <v>76.682200831935191</v>
      </c>
      <c r="AH429" s="304">
        <f t="shared" ca="1" si="202"/>
        <v>85.838946206535056</v>
      </c>
    </row>
    <row r="430" spans="1:34" x14ac:dyDescent="0.2">
      <c r="A430" s="347">
        <f t="shared" ca="1" si="180"/>
        <v>0.01</v>
      </c>
      <c r="B430" s="304">
        <f t="shared" ca="1" si="181"/>
        <v>4.2599999999999536</v>
      </c>
      <c r="D430" s="306">
        <f t="shared" ca="1" si="182"/>
        <v>30.7577622737127</v>
      </c>
      <c r="E430" s="307">
        <f t="shared" ca="1" si="183"/>
        <v>70.176626256473114</v>
      </c>
      <c r="F430" s="304">
        <f t="shared" ca="1" si="184"/>
        <v>76.621138159302589</v>
      </c>
      <c r="G430" s="306">
        <f t="shared" ca="1" si="185"/>
        <v>116.61073226842906</v>
      </c>
      <c r="H430" s="307">
        <f t="shared" ca="1" si="186"/>
        <v>303.15214871591894</v>
      </c>
      <c r="I430" s="304">
        <f t="shared" ca="1" si="187"/>
        <v>324.80653957588027</v>
      </c>
      <c r="J430" s="306">
        <f t="shared" ca="1" si="188"/>
        <v>224.58188017517512</v>
      </c>
      <c r="K430" s="307">
        <f t="shared" ca="1" si="189"/>
        <v>623.24048784721958</v>
      </c>
      <c r="L430" s="304">
        <f t="shared" ca="1" si="174"/>
        <v>662.46941559218942</v>
      </c>
      <c r="M430" s="306">
        <f t="shared" ca="1" si="190"/>
        <v>1.2035829760311942</v>
      </c>
      <c r="N430" s="304">
        <f t="shared" ca="1" si="191"/>
        <v>68.960224820382749</v>
      </c>
      <c r="P430" s="310">
        <f t="shared" ca="1" si="192"/>
        <v>14</v>
      </c>
      <c r="Q430" s="304">
        <f t="shared" ca="1" si="193"/>
        <v>2286.749039637602</v>
      </c>
      <c r="R430" s="306">
        <f t="shared" ca="1" si="194"/>
        <v>1.3751917296596299</v>
      </c>
      <c r="S430" s="307">
        <f t="shared" ca="1" si="195"/>
        <v>18.460779397586712</v>
      </c>
      <c r="T430" s="304">
        <f t="shared" ca="1" si="175"/>
        <v>181.10024589032565</v>
      </c>
      <c r="U430" s="311">
        <f t="shared" ca="1" si="176"/>
        <v>0</v>
      </c>
      <c r="V430" s="306">
        <f t="shared" ca="1" si="177"/>
        <v>1.1509602681680664</v>
      </c>
      <c r="W430" s="304">
        <f t="shared" ca="1" si="178"/>
        <v>707.84231142682245</v>
      </c>
      <c r="Y430" s="314" t="str">
        <f t="shared" ca="1" si="196"/>
        <v/>
      </c>
      <c r="Z430" s="315" t="str">
        <f t="shared" ca="1" si="197"/>
        <v/>
      </c>
      <c r="AA430" s="316" t="str">
        <f t="shared" ca="1" si="198"/>
        <v/>
      </c>
      <c r="AC430" s="310" t="e">
        <f t="shared" ca="1" si="199"/>
        <v>#N/A</v>
      </c>
      <c r="AD430" s="323" t="e">
        <f t="shared" ca="1" si="200"/>
        <v>#N/A</v>
      </c>
      <c r="AE430" s="324">
        <f t="shared" ca="1" si="179"/>
        <v>623.24048784721958</v>
      </c>
      <c r="AG430" s="306">
        <f t="shared" ca="1" si="201"/>
        <v>76.540196599231891</v>
      </c>
      <c r="AH430" s="304">
        <f t="shared" ca="1" si="202"/>
        <v>85.696559557422944</v>
      </c>
    </row>
    <row r="431" spans="1:34" x14ac:dyDescent="0.2">
      <c r="A431" s="347">
        <f t="shared" ca="1" si="180"/>
        <v>0.01</v>
      </c>
      <c r="B431" s="304">
        <f t="shared" ca="1" si="181"/>
        <v>4.2699999999999534</v>
      </c>
      <c r="D431" s="306">
        <f t="shared" ca="1" si="182"/>
        <v>30.715245140106262</v>
      </c>
      <c r="E431" s="307">
        <f t="shared" ca="1" si="183"/>
        <v>70.04021945600411</v>
      </c>
      <c r="F431" s="304">
        <f t="shared" ca="1" si="184"/>
        <v>76.479138498430004</v>
      </c>
      <c r="G431" s="306">
        <f t="shared" ca="1" si="185"/>
        <v>116.91788471983013</v>
      </c>
      <c r="H431" s="307">
        <f t="shared" ca="1" si="186"/>
        <v>303.85255091047895</v>
      </c>
      <c r="I431" s="304">
        <f t="shared" ca="1" si="187"/>
        <v>325.57052148830167</v>
      </c>
      <c r="J431" s="306">
        <f t="shared" ca="1" si="188"/>
        <v>225.7495232601164</v>
      </c>
      <c r="K431" s="307">
        <f t="shared" ca="1" si="189"/>
        <v>626.27551134535156</v>
      </c>
      <c r="L431" s="304">
        <f t="shared" ca="1" si="174"/>
        <v>665.72055951656728</v>
      </c>
      <c r="M431" s="306">
        <f t="shared" ca="1" si="190"/>
        <v>1.2034747983442848</v>
      </c>
      <c r="N431" s="304">
        <f t="shared" ca="1" si="191"/>
        <v>68.954026695485354</v>
      </c>
      <c r="P431" s="310">
        <f t="shared" ca="1" si="192"/>
        <v>14</v>
      </c>
      <c r="Q431" s="304">
        <f t="shared" ca="1" si="193"/>
        <v>2286.0593227633099</v>
      </c>
      <c r="R431" s="306">
        <f t="shared" ca="1" si="194"/>
        <v>1.3747769517697557</v>
      </c>
      <c r="S431" s="307">
        <f t="shared" ca="1" si="195"/>
        <v>18.447031628069016</v>
      </c>
      <c r="T431" s="304">
        <f t="shared" ca="1" si="175"/>
        <v>180.96538027135705</v>
      </c>
      <c r="U431" s="311">
        <f t="shared" ca="1" si="176"/>
        <v>0</v>
      </c>
      <c r="V431" s="306">
        <f t="shared" ca="1" si="177"/>
        <v>1.1506106609284774</v>
      </c>
      <c r="W431" s="304">
        <f t="shared" ca="1" si="178"/>
        <v>710.96005709754854</v>
      </c>
      <c r="Y431" s="314" t="str">
        <f t="shared" ca="1" si="196"/>
        <v/>
      </c>
      <c r="Z431" s="315" t="str">
        <f t="shared" ca="1" si="197"/>
        <v/>
      </c>
      <c r="AA431" s="316" t="str">
        <f t="shared" ca="1" si="198"/>
        <v/>
      </c>
      <c r="AC431" s="310" t="e">
        <f t="shared" ca="1" si="199"/>
        <v>#N/A</v>
      </c>
      <c r="AD431" s="323" t="e">
        <f t="shared" ca="1" si="200"/>
        <v>#N/A</v>
      </c>
      <c r="AE431" s="324">
        <f t="shared" ca="1" si="179"/>
        <v>626.27551134535156</v>
      </c>
      <c r="AG431" s="306">
        <f t="shared" ca="1" si="201"/>
        <v>76.398000744123436</v>
      </c>
      <c r="AH431" s="304">
        <f t="shared" ca="1" si="202"/>
        <v>85.553981971553142</v>
      </c>
    </row>
    <row r="432" spans="1:34" x14ac:dyDescent="0.2">
      <c r="A432" s="347">
        <f t="shared" ca="1" si="180"/>
        <v>0.01</v>
      </c>
      <c r="B432" s="304">
        <f t="shared" ca="1" si="181"/>
        <v>4.2799999999999532</v>
      </c>
      <c r="D432" s="306">
        <f t="shared" ca="1" si="182"/>
        <v>30.672613398743906</v>
      </c>
      <c r="E432" s="307">
        <f t="shared" ca="1" si="183"/>
        <v>69.903654131124924</v>
      </c>
      <c r="F432" s="304">
        <f t="shared" ca="1" si="184"/>
        <v>76.336950905788356</v>
      </c>
      <c r="G432" s="306">
        <f t="shared" ca="1" si="185"/>
        <v>117.22461085381757</v>
      </c>
      <c r="H432" s="307">
        <f t="shared" ca="1" si="186"/>
        <v>304.55158745179023</v>
      </c>
      <c r="I432" s="304">
        <f t="shared" ca="1" si="187"/>
        <v>326.33307955099252</v>
      </c>
      <c r="J432" s="306">
        <f t="shared" ca="1" si="188"/>
        <v>226.92023573798465</v>
      </c>
      <c r="K432" s="307">
        <f t="shared" ca="1" si="189"/>
        <v>629.31753203716289</v>
      </c>
      <c r="L432" s="304">
        <f t="shared" ca="1" si="174"/>
        <v>668.97933414772092</v>
      </c>
      <c r="M432" s="306">
        <f t="shared" ca="1" si="190"/>
        <v>1.2033668430903726</v>
      </c>
      <c r="N432" s="304">
        <f t="shared" ca="1" si="191"/>
        <v>68.947841315059918</v>
      </c>
      <c r="P432" s="310">
        <f t="shared" ca="1" si="192"/>
        <v>14</v>
      </c>
      <c r="Q432" s="304">
        <f t="shared" ca="1" si="193"/>
        <v>2285.3696058890177</v>
      </c>
      <c r="R432" s="306">
        <f t="shared" ca="1" si="194"/>
        <v>1.3743621738798812</v>
      </c>
      <c r="S432" s="307">
        <f t="shared" ca="1" si="195"/>
        <v>18.433288006330219</v>
      </c>
      <c r="T432" s="304">
        <f t="shared" ca="1" si="175"/>
        <v>180.83055534209947</v>
      </c>
      <c r="U432" s="311">
        <f t="shared" ca="1" si="176"/>
        <v>0</v>
      </c>
      <c r="V432" s="306">
        <f t="shared" ca="1" si="177"/>
        <v>1.1502603509012548</v>
      </c>
      <c r="W432" s="304">
        <f t="shared" ca="1" si="178"/>
        <v>714.07693732097425</v>
      </c>
      <c r="Y432" s="314" t="str">
        <f t="shared" ca="1" si="196"/>
        <v/>
      </c>
      <c r="Z432" s="315" t="str">
        <f t="shared" ca="1" si="197"/>
        <v/>
      </c>
      <c r="AA432" s="316" t="str">
        <f t="shared" ca="1" si="198"/>
        <v/>
      </c>
      <c r="AC432" s="310" t="e">
        <f t="shared" ca="1" si="199"/>
        <v>#N/A</v>
      </c>
      <c r="AD432" s="323" t="e">
        <f t="shared" ca="1" si="200"/>
        <v>#N/A</v>
      </c>
      <c r="AE432" s="324">
        <f t="shared" ca="1" si="179"/>
        <v>629.31753203716289</v>
      </c>
      <c r="AG432" s="306">
        <f t="shared" ca="1" si="201"/>
        <v>76.255616109299595</v>
      </c>
      <c r="AH432" s="304">
        <f t="shared" ca="1" si="202"/>
        <v>85.411216287121292</v>
      </c>
    </row>
    <row r="433" spans="1:34" x14ac:dyDescent="0.2">
      <c r="A433" s="347">
        <f t="shared" ca="1" si="180"/>
        <v>0.01</v>
      </c>
      <c r="B433" s="304">
        <f t="shared" ca="1" si="181"/>
        <v>4.289999999999953</v>
      </c>
      <c r="D433" s="306">
        <f t="shared" ca="1" si="182"/>
        <v>30.629868220431273</v>
      </c>
      <c r="E433" s="307">
        <f t="shared" ca="1" si="183"/>
        <v>69.766932881476848</v>
      </c>
      <c r="F433" s="304">
        <f t="shared" ca="1" si="184"/>
        <v>76.194578225025182</v>
      </c>
      <c r="G433" s="306">
        <f t="shared" ca="1" si="185"/>
        <v>117.53090953602188</v>
      </c>
      <c r="H433" s="307">
        <f t="shared" ca="1" si="186"/>
        <v>305.24925678060498</v>
      </c>
      <c r="I433" s="304">
        <f t="shared" ca="1" si="187"/>
        <v>327.09421190457692</v>
      </c>
      <c r="J433" s="306">
        <f t="shared" ca="1" si="188"/>
        <v>228.09401333993384</v>
      </c>
      <c r="K433" s="307">
        <f t="shared" ca="1" si="189"/>
        <v>632.36653625832491</v>
      </c>
      <c r="L433" s="304">
        <f t="shared" ca="1" si="174"/>
        <v>672.24572523807785</v>
      </c>
      <c r="M433" s="306">
        <f t="shared" ca="1" si="190"/>
        <v>1.2032591088262794</v>
      </c>
      <c r="N433" s="304">
        <f t="shared" ca="1" si="191"/>
        <v>68.941668596418438</v>
      </c>
      <c r="P433" s="310">
        <f t="shared" ca="1" si="192"/>
        <v>14</v>
      </c>
      <c r="Q433" s="304">
        <f t="shared" ca="1" si="193"/>
        <v>2284.6798890147256</v>
      </c>
      <c r="R433" s="306">
        <f t="shared" ca="1" si="194"/>
        <v>1.3739473959900068</v>
      </c>
      <c r="S433" s="307">
        <f t="shared" ca="1" si="195"/>
        <v>18.419548532370317</v>
      </c>
      <c r="T433" s="304">
        <f t="shared" ca="1" si="175"/>
        <v>180.69577110255281</v>
      </c>
      <c r="U433" s="311">
        <f t="shared" ca="1" si="176"/>
        <v>0</v>
      </c>
      <c r="V433" s="306">
        <f t="shared" ca="1" si="177"/>
        <v>1.1499093403265095</v>
      </c>
      <c r="W433" s="304">
        <f t="shared" ca="1" si="178"/>
        <v>717.1928941027976</v>
      </c>
      <c r="Y433" s="314" t="str">
        <f t="shared" ca="1" si="196"/>
        <v/>
      </c>
      <c r="Z433" s="315" t="str">
        <f t="shared" ca="1" si="197"/>
        <v/>
      </c>
      <c r="AA433" s="316" t="str">
        <f t="shared" ca="1" si="198"/>
        <v/>
      </c>
      <c r="AC433" s="310" t="e">
        <f t="shared" ca="1" si="199"/>
        <v>#N/A</v>
      </c>
      <c r="AD433" s="323" t="e">
        <f t="shared" ca="1" si="200"/>
        <v>#N/A</v>
      </c>
      <c r="AE433" s="324">
        <f t="shared" ca="1" si="179"/>
        <v>632.36653625832491</v>
      </c>
      <c r="AG433" s="306">
        <f t="shared" ca="1" si="201"/>
        <v>76.113045534689192</v>
      </c>
      <c r="AH433" s="304">
        <f t="shared" ca="1" si="202"/>
        <v>85.268265339597804</v>
      </c>
    </row>
    <row r="434" spans="1:34" x14ac:dyDescent="0.2">
      <c r="A434" s="347">
        <f t="shared" ca="1" si="180"/>
        <v>0.01</v>
      </c>
      <c r="B434" s="304">
        <f t="shared" ca="1" si="181"/>
        <v>4.2999999999999527</v>
      </c>
      <c r="D434" s="306">
        <f t="shared" ca="1" si="182"/>
        <v>30.587010774561747</v>
      </c>
      <c r="E434" s="307">
        <f t="shared" ca="1" si="183"/>
        <v>69.630058304098711</v>
      </c>
      <c r="F434" s="304">
        <f t="shared" ca="1" si="184"/>
        <v>76.052023296920524</v>
      </c>
      <c r="G434" s="306">
        <f t="shared" ca="1" si="185"/>
        <v>117.8367796437675</v>
      </c>
      <c r="H434" s="307">
        <f t="shared" ca="1" si="186"/>
        <v>305.94555736364595</v>
      </c>
      <c r="I434" s="304">
        <f t="shared" ca="1" si="187"/>
        <v>327.85391671804956</v>
      </c>
      <c r="J434" s="306">
        <f t="shared" ca="1" si="188"/>
        <v>229.27085178583278</v>
      </c>
      <c r="K434" s="307">
        <f t="shared" ca="1" si="189"/>
        <v>635.42251032904619</v>
      </c>
      <c r="L434" s="304">
        <f t="shared" ca="1" si="174"/>
        <v>675.5197185215751</v>
      </c>
      <c r="M434" s="306">
        <f t="shared" ca="1" si="190"/>
        <v>1.20315159412075</v>
      </c>
      <c r="N434" s="304">
        <f t="shared" ca="1" si="191"/>
        <v>68.935508457556011</v>
      </c>
      <c r="P434" s="310">
        <f t="shared" ca="1" si="192"/>
        <v>14</v>
      </c>
      <c r="Q434" s="304">
        <f t="shared" ca="1" si="193"/>
        <v>2283.9901721404335</v>
      </c>
      <c r="R434" s="306">
        <f t="shared" ca="1" si="194"/>
        <v>1.3735326181001324</v>
      </c>
      <c r="S434" s="307">
        <f t="shared" ca="1" si="195"/>
        <v>18.405813206189315</v>
      </c>
      <c r="T434" s="304">
        <f t="shared" ca="1" si="175"/>
        <v>180.56102755271718</v>
      </c>
      <c r="U434" s="311">
        <f t="shared" ca="1" si="176"/>
        <v>0</v>
      </c>
      <c r="V434" s="306">
        <f t="shared" ca="1" si="177"/>
        <v>1.149557631445302</v>
      </c>
      <c r="W434" s="304">
        <f t="shared" ca="1" si="178"/>
        <v>720.30786966330231</v>
      </c>
      <c r="Y434" s="314" t="str">
        <f t="shared" ca="1" si="196"/>
        <v/>
      </c>
      <c r="Z434" s="315" t="str">
        <f t="shared" ca="1" si="197"/>
        <v/>
      </c>
      <c r="AA434" s="316" t="str">
        <f t="shared" ca="1" si="198"/>
        <v/>
      </c>
      <c r="AC434" s="310" t="e">
        <f t="shared" ca="1" si="199"/>
        <v>#N/A</v>
      </c>
      <c r="AD434" s="323" t="e">
        <f t="shared" ca="1" si="200"/>
        <v>#N/A</v>
      </c>
      <c r="AE434" s="324">
        <f t="shared" ca="1" si="179"/>
        <v>635.42251032904619</v>
      </c>
      <c r="AG434" s="306">
        <f t="shared" ca="1" si="201"/>
        <v>75.970291857344108</v>
      </c>
      <c r="AH434" s="304">
        <f t="shared" ca="1" si="202"/>
        <v>85.12513196161143</v>
      </c>
    </row>
    <row r="435" spans="1:34" x14ac:dyDescent="0.2">
      <c r="A435" s="347">
        <f t="shared" ca="1" si="180"/>
        <v>0.01</v>
      </c>
      <c r="B435" s="304">
        <f t="shared" ca="1" si="181"/>
        <v>4.3099999999999525</v>
      </c>
      <c r="D435" s="306">
        <f t="shared" ca="1" si="182"/>
        <v>30.544042229083995</v>
      </c>
      <c r="E435" s="307">
        <f t="shared" ca="1" si="183"/>
        <v>69.493032993316348</v>
      </c>
      <c r="F435" s="304">
        <f t="shared" ca="1" si="184"/>
        <v>75.909288959271777</v>
      </c>
      <c r="G435" s="306">
        <f t="shared" ca="1" si="185"/>
        <v>118.14222006605834</v>
      </c>
      <c r="H435" s="307">
        <f t="shared" ca="1" si="186"/>
        <v>306.64048769357913</v>
      </c>
      <c r="I435" s="304">
        <f t="shared" ca="1" si="187"/>
        <v>328.6121921887455</v>
      </c>
      <c r="J435" s="306">
        <f t="shared" ca="1" si="188"/>
        <v>230.45074678438189</v>
      </c>
      <c r="K435" s="307">
        <f t="shared" ca="1" si="189"/>
        <v>638.48544055433229</v>
      </c>
      <c r="L435" s="304">
        <f t="shared" ca="1" si="174"/>
        <v>678.80129971394354</v>
      </c>
      <c r="M435" s="306">
        <f t="shared" ca="1" si="190"/>
        <v>1.2030442975543227</v>
      </c>
      <c r="N435" s="304">
        <f t="shared" ca="1" si="191"/>
        <v>68.929360817143476</v>
      </c>
      <c r="P435" s="310">
        <f t="shared" ca="1" si="192"/>
        <v>14</v>
      </c>
      <c r="Q435" s="304">
        <f t="shared" ca="1" si="193"/>
        <v>2283.3004552661414</v>
      </c>
      <c r="R435" s="306">
        <f t="shared" ca="1" si="194"/>
        <v>1.373117840210258</v>
      </c>
      <c r="S435" s="307">
        <f t="shared" ca="1" si="195"/>
        <v>18.392082027787211</v>
      </c>
      <c r="T435" s="304">
        <f t="shared" ca="1" si="175"/>
        <v>180.42632469259254</v>
      </c>
      <c r="U435" s="311">
        <f t="shared" ca="1" si="176"/>
        <v>0</v>
      </c>
      <c r="V435" s="306">
        <f t="shared" ca="1" si="177"/>
        <v>1.1492052264996002</v>
      </c>
      <c r="W435" s="304">
        <f t="shared" ca="1" si="178"/>
        <v>723.4218064391539</v>
      </c>
      <c r="Y435" s="314" t="str">
        <f t="shared" ca="1" si="196"/>
        <v/>
      </c>
      <c r="Z435" s="315" t="str">
        <f t="shared" ca="1" si="197"/>
        <v/>
      </c>
      <c r="AA435" s="316" t="str">
        <f t="shared" ca="1" si="198"/>
        <v/>
      </c>
      <c r="AC435" s="310" t="e">
        <f t="shared" ca="1" si="199"/>
        <v>#N/A</v>
      </c>
      <c r="AD435" s="323" t="e">
        <f t="shared" ca="1" si="200"/>
        <v>#N/A</v>
      </c>
      <c r="AE435" s="324">
        <f t="shared" ca="1" si="179"/>
        <v>638.48544055433229</v>
      </c>
      <c r="AG435" s="306">
        <f t="shared" ca="1" si="201"/>
        <v>75.827357911323844</v>
      </c>
      <c r="AH435" s="304">
        <f t="shared" ca="1" si="202"/>
        <v>84.981818982833545</v>
      </c>
    </row>
    <row r="436" spans="1:34" x14ac:dyDescent="0.2">
      <c r="A436" s="347">
        <f t="shared" ca="1" si="180"/>
        <v>0.01</v>
      </c>
      <c r="B436" s="304">
        <f t="shared" ca="1" si="181"/>
        <v>4.3199999999999523</v>
      </c>
      <c r="D436" s="306">
        <f t="shared" ca="1" si="182"/>
        <v>30.500963750469278</v>
      </c>
      <c r="E436" s="307">
        <f t="shared" ca="1" si="183"/>
        <v>69.355859540632565</v>
      </c>
      <c r="F436" s="304">
        <f t="shared" ca="1" si="184"/>
        <v>75.766378046778726</v>
      </c>
      <c r="G436" s="306">
        <f t="shared" ca="1" si="185"/>
        <v>118.44722970356304</v>
      </c>
      <c r="H436" s="307">
        <f t="shared" ca="1" si="186"/>
        <v>307.33404628898546</v>
      </c>
      <c r="I436" s="304">
        <f t="shared" ca="1" si="187"/>
        <v>329.369036542309</v>
      </c>
      <c r="J436" s="306">
        <f t="shared" ca="1" si="188"/>
        <v>231.63369403323</v>
      </c>
      <c r="K436" s="307">
        <f t="shared" ca="1" si="189"/>
        <v>641.55531322424508</v>
      </c>
      <c r="L436" s="304">
        <f t="shared" ca="1" si="174"/>
        <v>682.09045451299141</v>
      </c>
      <c r="M436" s="306">
        <f t="shared" ca="1" si="190"/>
        <v>1.202937217719201</v>
      </c>
      <c r="N436" s="304">
        <f t="shared" ca="1" si="191"/>
        <v>68.923225594520048</v>
      </c>
      <c r="P436" s="310">
        <f t="shared" ca="1" si="192"/>
        <v>14</v>
      </c>
      <c r="Q436" s="304">
        <f t="shared" ca="1" si="193"/>
        <v>2282.6107383918493</v>
      </c>
      <c r="R436" s="306">
        <f t="shared" ca="1" si="194"/>
        <v>1.3727030623203835</v>
      </c>
      <c r="S436" s="307">
        <f t="shared" ca="1" si="195"/>
        <v>18.378354997164006</v>
      </c>
      <c r="T436" s="304">
        <f t="shared" ca="1" si="175"/>
        <v>180.29166252217891</v>
      </c>
      <c r="U436" s="311">
        <f t="shared" ca="1" si="176"/>
        <v>0</v>
      </c>
      <c r="V436" s="306">
        <f t="shared" ca="1" si="177"/>
        <v>1.1488521277322352</v>
      </c>
      <c r="W436" s="304">
        <f t="shared" ca="1" si="178"/>
        <v>726.53464708517367</v>
      </c>
      <c r="Y436" s="314" t="str">
        <f t="shared" ca="1" si="196"/>
        <v/>
      </c>
      <c r="Z436" s="315" t="str">
        <f t="shared" ca="1" si="197"/>
        <v/>
      </c>
      <c r="AA436" s="316" t="str">
        <f t="shared" ca="1" si="198"/>
        <v/>
      </c>
      <c r="AC436" s="310" t="e">
        <f t="shared" ca="1" si="199"/>
        <v>#N/A</v>
      </c>
      <c r="AD436" s="323" t="e">
        <f t="shared" ca="1" si="200"/>
        <v>#N/A</v>
      </c>
      <c r="AE436" s="324">
        <f t="shared" ca="1" si="179"/>
        <v>641.55531322424508</v>
      </c>
      <c r="AG436" s="306">
        <f t="shared" ca="1" si="201"/>
        <v>75.684246527580711</v>
      </c>
      <c r="AH436" s="304">
        <f t="shared" ca="1" si="202"/>
        <v>84.838329229862865</v>
      </c>
    </row>
    <row r="437" spans="1:34" x14ac:dyDescent="0.2">
      <c r="A437" s="347">
        <f t="shared" ca="1" si="180"/>
        <v>0.01</v>
      </c>
      <c r="B437" s="304">
        <f t="shared" ca="1" si="181"/>
        <v>4.3299999999999521</v>
      </c>
      <c r="D437" s="306">
        <f t="shared" ca="1" si="182"/>
        <v>30.457776503678936</v>
      </c>
      <c r="E437" s="307">
        <f t="shared" ca="1" si="183"/>
        <v>69.218540534617944</v>
      </c>
      <c r="F437" s="304">
        <f t="shared" ca="1" si="184"/>
        <v>75.623293390929518</v>
      </c>
      <c r="G437" s="306">
        <f t="shared" ca="1" si="185"/>
        <v>118.75180746859982</v>
      </c>
      <c r="H437" s="307">
        <f t="shared" ca="1" si="186"/>
        <v>308.02623169433161</v>
      </c>
      <c r="I437" s="304">
        <f t="shared" ca="1" si="187"/>
        <v>330.12444803266158</v>
      </c>
      <c r="J437" s="306">
        <f t="shared" ca="1" si="188"/>
        <v>232.8196892190908</v>
      </c>
      <c r="K437" s="307">
        <f t="shared" ca="1" si="189"/>
        <v>644.63211461416165</v>
      </c>
      <c r="L437" s="304">
        <f t="shared" ca="1" si="174"/>
        <v>685.38716859888734</v>
      </c>
      <c r="M437" s="306">
        <f t="shared" ca="1" si="190"/>
        <v>1.2028303532191267</v>
      </c>
      <c r="N437" s="304">
        <f t="shared" ca="1" si="191"/>
        <v>68.917102709686006</v>
      </c>
      <c r="P437" s="310">
        <f t="shared" ca="1" si="192"/>
        <v>14</v>
      </c>
      <c r="Q437" s="304">
        <f t="shared" ca="1" si="193"/>
        <v>2281.9210215175567</v>
      </c>
      <c r="R437" s="306">
        <f t="shared" ca="1" si="194"/>
        <v>1.3722882844305089</v>
      </c>
      <c r="S437" s="307">
        <f t="shared" ca="1" si="195"/>
        <v>18.364632114319701</v>
      </c>
      <c r="T437" s="304">
        <f t="shared" ca="1" si="175"/>
        <v>180.15704104147628</v>
      </c>
      <c r="U437" s="311">
        <f t="shared" ca="1" si="176"/>
        <v>0</v>
      </c>
      <c r="V437" s="306">
        <f t="shared" ca="1" si="177"/>
        <v>1.148498337386856</v>
      </c>
      <c r="W437" s="304">
        <f t="shared" ca="1" si="178"/>
        <v>729.6463344760906</v>
      </c>
      <c r="Y437" s="314" t="str">
        <f t="shared" ca="1" si="196"/>
        <v/>
      </c>
      <c r="Z437" s="315" t="str">
        <f t="shared" ca="1" si="197"/>
        <v/>
      </c>
      <c r="AA437" s="316" t="str">
        <f t="shared" ca="1" si="198"/>
        <v/>
      </c>
      <c r="AC437" s="310" t="e">
        <f t="shared" ca="1" si="199"/>
        <v>#N/A</v>
      </c>
      <c r="AD437" s="323" t="e">
        <f t="shared" ca="1" si="200"/>
        <v>#N/A</v>
      </c>
      <c r="AE437" s="324">
        <f t="shared" ca="1" si="179"/>
        <v>644.63211461416165</v>
      </c>
      <c r="AG437" s="306">
        <f t="shared" ca="1" si="201"/>
        <v>75.540960533845663</v>
      </c>
      <c r="AH437" s="304">
        <f t="shared" ca="1" si="202"/>
        <v>84.694665526110967</v>
      </c>
    </row>
    <row r="438" spans="1:34" x14ac:dyDescent="0.2">
      <c r="A438" s="347">
        <f t="shared" ca="1" si="180"/>
        <v>0.01</v>
      </c>
      <c r="B438" s="304">
        <f t="shared" ca="1" si="181"/>
        <v>4.3399999999999519</v>
      </c>
      <c r="D438" s="306">
        <f t="shared" ca="1" si="182"/>
        <v>30.414481652132007</v>
      </c>
      <c r="E438" s="307">
        <f t="shared" ca="1" si="183"/>
        <v>69.081078560802595</v>
      </c>
      <c r="F438" s="304">
        <f t="shared" ca="1" si="184"/>
        <v>75.480037819887542</v>
      </c>
      <c r="G438" s="306">
        <f t="shared" ca="1" si="185"/>
        <v>119.05595228512114</v>
      </c>
      <c r="H438" s="307">
        <f t="shared" ca="1" si="186"/>
        <v>308.71704247993966</v>
      </c>
      <c r="I438" s="304">
        <f t="shared" ca="1" si="187"/>
        <v>330.87842494196855</v>
      </c>
      <c r="J438" s="306">
        <f t="shared" ca="1" si="188"/>
        <v>234.0087280178594</v>
      </c>
      <c r="K438" s="307">
        <f t="shared" ca="1" si="189"/>
        <v>647.71583098503299</v>
      </c>
      <c r="L438" s="304">
        <f t="shared" ca="1" si="174"/>
        <v>688.69142763444381</v>
      </c>
      <c r="M438" s="306">
        <f t="shared" ca="1" si="190"/>
        <v>1.2027237026692552</v>
      </c>
      <c r="N438" s="304">
        <f t="shared" ca="1" si="191"/>
        <v>68.910992083295625</v>
      </c>
      <c r="P438" s="310">
        <f t="shared" ca="1" si="192"/>
        <v>14</v>
      </c>
      <c r="Q438" s="304">
        <f t="shared" ca="1" si="193"/>
        <v>2281.2313046432646</v>
      </c>
      <c r="R438" s="306">
        <f t="shared" ca="1" si="194"/>
        <v>1.3718735065406344</v>
      </c>
      <c r="S438" s="307">
        <f t="shared" ca="1" si="195"/>
        <v>18.350913379254294</v>
      </c>
      <c r="T438" s="304">
        <f t="shared" ca="1" si="175"/>
        <v>180.02246025048464</v>
      </c>
      <c r="U438" s="311">
        <f t="shared" ca="1" si="176"/>
        <v>0</v>
      </c>
      <c r="V438" s="306">
        <f t="shared" ca="1" si="177"/>
        <v>1.1481438577078853</v>
      </c>
      <c r="W438" s="304">
        <f t="shared" ca="1" si="178"/>
        <v>732.75681170827238</v>
      </c>
      <c r="Y438" s="314" t="str">
        <f t="shared" ca="1" si="196"/>
        <v/>
      </c>
      <c r="Z438" s="315" t="str">
        <f t="shared" ca="1" si="197"/>
        <v/>
      </c>
      <c r="AA438" s="316" t="str">
        <f t="shared" ca="1" si="198"/>
        <v/>
      </c>
      <c r="AC438" s="310" t="e">
        <f t="shared" ca="1" si="199"/>
        <v>#N/A</v>
      </c>
      <c r="AD438" s="323" t="e">
        <f t="shared" ca="1" si="200"/>
        <v>#N/A</v>
      </c>
      <c r="AE438" s="324">
        <f t="shared" ca="1" si="179"/>
        <v>647.71583098503299</v>
      </c>
      <c r="AG438" s="306">
        <f t="shared" ca="1" si="201"/>
        <v>75.397502754515003</v>
      </c>
      <c r="AH438" s="304">
        <f t="shared" ca="1" si="202"/>
        <v>84.55083069168866</v>
      </c>
    </row>
    <row r="439" spans="1:34" x14ac:dyDescent="0.2">
      <c r="A439" s="347">
        <f t="shared" ca="1" si="180"/>
        <v>0.01</v>
      </c>
      <c r="B439" s="304">
        <f t="shared" ca="1" si="181"/>
        <v>4.3499999999999517</v>
      </c>
      <c r="D439" s="306">
        <f t="shared" ca="1" si="182"/>
        <v>30.3710803576727</v>
      </c>
      <c r="E439" s="307">
        <f t="shared" ca="1" si="183"/>
        <v>68.943476201568032</v>
      </c>
      <c r="F439" s="304">
        <f t="shared" ca="1" si="184"/>
        <v>75.336614158378453</v>
      </c>
      <c r="G439" s="306">
        <f t="shared" ca="1" si="185"/>
        <v>119.35966308869786</v>
      </c>
      <c r="H439" s="307">
        <f t="shared" ca="1" si="186"/>
        <v>309.40647724195537</v>
      </c>
      <c r="I439" s="304">
        <f t="shared" ca="1" si="187"/>
        <v>331.63096558060454</v>
      </c>
      <c r="J439" s="306">
        <f t="shared" ca="1" si="188"/>
        <v>235.20080609472851</v>
      </c>
      <c r="K439" s="307">
        <f t="shared" ca="1" si="189"/>
        <v>650.80644858364246</v>
      </c>
      <c r="L439" s="304">
        <f t="shared" ca="1" si="174"/>
        <v>692.00321726539926</v>
      </c>
      <c r="M439" s="306">
        <f t="shared" ca="1" si="190"/>
        <v>1.2026172646960323</v>
      </c>
      <c r="N439" s="304">
        <f t="shared" ca="1" si="191"/>
        <v>68.90489363665003</v>
      </c>
      <c r="P439" s="310">
        <f t="shared" ca="1" si="192"/>
        <v>14</v>
      </c>
      <c r="Q439" s="304">
        <f t="shared" ca="1" si="193"/>
        <v>2280.5415877689725</v>
      </c>
      <c r="R439" s="306">
        <f t="shared" ca="1" si="194"/>
        <v>1.37145872865076</v>
      </c>
      <c r="S439" s="307">
        <f t="shared" ca="1" si="195"/>
        <v>18.337198791967786</v>
      </c>
      <c r="T439" s="304">
        <f t="shared" ca="1" si="175"/>
        <v>179.88792014920401</v>
      </c>
      <c r="U439" s="311">
        <f t="shared" ca="1" si="176"/>
        <v>0</v>
      </c>
      <c r="V439" s="306">
        <f t="shared" ca="1" si="177"/>
        <v>1.1477886909404797</v>
      </c>
      <c r="W439" s="304">
        <f t="shared" ca="1" si="178"/>
        <v>735.8660221014369</v>
      </c>
      <c r="Y439" s="314" t="str">
        <f t="shared" ca="1" si="196"/>
        <v/>
      </c>
      <c r="Z439" s="315" t="str">
        <f t="shared" ca="1" si="197"/>
        <v/>
      </c>
      <c r="AA439" s="316" t="str">
        <f t="shared" ca="1" si="198"/>
        <v/>
      </c>
      <c r="AC439" s="310" t="e">
        <f t="shared" ca="1" si="199"/>
        <v>#N/A</v>
      </c>
      <c r="AD439" s="323" t="e">
        <f t="shared" ca="1" si="200"/>
        <v>#N/A</v>
      </c>
      <c r="AE439" s="324">
        <f t="shared" ca="1" si="179"/>
        <v>650.80644858364246</v>
      </c>
      <c r="AG439" s="306">
        <f t="shared" ca="1" si="201"/>
        <v>75.253876010537525</v>
      </c>
      <c r="AH439" s="304">
        <f t="shared" ca="1" si="202"/>
        <v>84.406827543292692</v>
      </c>
    </row>
    <row r="440" spans="1:34" x14ac:dyDescent="0.2">
      <c r="A440" s="347">
        <f t="shared" ca="1" si="180"/>
        <v>0.01</v>
      </c>
      <c r="B440" s="304">
        <f t="shared" ca="1" si="181"/>
        <v>4.3599999999999515</v>
      </c>
      <c r="D440" s="306">
        <f t="shared" ca="1" si="182"/>
        <v>30.327573780538014</v>
      </c>
      <c r="E440" s="307">
        <f t="shared" ca="1" si="183"/>
        <v>68.805736036040159</v>
      </c>
      <c r="F440" s="304">
        <f t="shared" ca="1" si="184"/>
        <v>75.193025227578204</v>
      </c>
      <c r="G440" s="306">
        <f t="shared" ca="1" si="185"/>
        <v>119.66293882650324</v>
      </c>
      <c r="H440" s="307">
        <f t="shared" ca="1" si="186"/>
        <v>310.09453460231578</v>
      </c>
      <c r="I440" s="304">
        <f t="shared" ca="1" si="187"/>
        <v>332.38206828711782</v>
      </c>
      <c r="J440" s="306">
        <f t="shared" ca="1" si="188"/>
        <v>236.39591910430451</v>
      </c>
      <c r="K440" s="307">
        <f t="shared" ca="1" si="189"/>
        <v>653.90395364286383</v>
      </c>
      <c r="L440" s="304">
        <f t="shared" ca="1" si="174"/>
        <v>695.32252312070079</v>
      </c>
      <c r="M440" s="306">
        <f t="shared" ca="1" si="190"/>
        <v>1.2025110379370734</v>
      </c>
      <c r="N440" s="304">
        <f t="shared" ca="1" si="191"/>
        <v>68.898807291690332</v>
      </c>
      <c r="P440" s="310">
        <f t="shared" ca="1" si="192"/>
        <v>14</v>
      </c>
      <c r="Q440" s="304">
        <f t="shared" ca="1" si="193"/>
        <v>2279.8518708946804</v>
      </c>
      <c r="R440" s="306">
        <f t="shared" ca="1" si="194"/>
        <v>1.3710439507608856</v>
      </c>
      <c r="S440" s="307">
        <f t="shared" ca="1" si="195"/>
        <v>18.323488352460178</v>
      </c>
      <c r="T440" s="304">
        <f t="shared" ca="1" si="175"/>
        <v>179.75342073763434</v>
      </c>
      <c r="U440" s="311">
        <f t="shared" ca="1" si="176"/>
        <v>0</v>
      </c>
      <c r="V440" s="306">
        <f t="shared" ca="1" si="177"/>
        <v>1.1474328393304816</v>
      </c>
      <c r="W440" s="304">
        <f t="shared" ca="1" si="178"/>
        <v>738.97390920033627</v>
      </c>
      <c r="Y440" s="314" t="str">
        <f t="shared" ca="1" si="196"/>
        <v/>
      </c>
      <c r="Z440" s="315" t="str">
        <f t="shared" ca="1" si="197"/>
        <v/>
      </c>
      <c r="AA440" s="316" t="str">
        <f t="shared" ca="1" si="198"/>
        <v/>
      </c>
      <c r="AC440" s="310" t="e">
        <f t="shared" ca="1" si="199"/>
        <v>#N/A</v>
      </c>
      <c r="AD440" s="323" t="e">
        <f t="shared" ca="1" si="200"/>
        <v>#N/A</v>
      </c>
      <c r="AE440" s="324">
        <f t="shared" ca="1" si="179"/>
        <v>653.90395364286383</v>
      </c>
      <c r="AG440" s="306">
        <f t="shared" ca="1" si="201"/>
        <v>75.110083119302317</v>
      </c>
      <c r="AH440" s="304">
        <f t="shared" ca="1" si="202"/>
        <v>84.262658894093292</v>
      </c>
    </row>
    <row r="441" spans="1:34" x14ac:dyDescent="0.2">
      <c r="A441" s="347">
        <f t="shared" ca="1" si="180"/>
        <v>0.01</v>
      </c>
      <c r="B441" s="304">
        <f t="shared" ca="1" si="181"/>
        <v>4.3699999999999513</v>
      </c>
      <c r="D441" s="306">
        <f t="shared" ca="1" si="182"/>
        <v>30.283963079325424</v>
      </c>
      <c r="E441" s="307">
        <f t="shared" ca="1" si="183"/>
        <v>68.66786063998299</v>
      </c>
      <c r="F441" s="304">
        <f t="shared" ca="1" si="184"/>
        <v>75.049273845001792</v>
      </c>
      <c r="G441" s="306">
        <f t="shared" ca="1" si="185"/>
        <v>119.96577845729649</v>
      </c>
      <c r="H441" s="307">
        <f t="shared" ca="1" si="186"/>
        <v>310.7812132087156</v>
      </c>
      <c r="I441" s="304">
        <f t="shared" ca="1" si="187"/>
        <v>333.13173142819386</v>
      </c>
      <c r="J441" s="306">
        <f t="shared" ca="1" si="188"/>
        <v>237.59406269072352</v>
      </c>
      <c r="K441" s="307">
        <f t="shared" ca="1" si="189"/>
        <v>657.00833238191899</v>
      </c>
      <c r="L441" s="304">
        <f t="shared" ca="1" si="174"/>
        <v>698.64933081278593</v>
      </c>
      <c r="M441" s="306">
        <f t="shared" ca="1" si="190"/>
        <v>1.2024050210410426</v>
      </c>
      <c r="N441" s="304">
        <f t="shared" ca="1" si="191"/>
        <v>68.892732970990693</v>
      </c>
      <c r="P441" s="310">
        <f t="shared" ca="1" si="192"/>
        <v>14</v>
      </c>
      <c r="Q441" s="304">
        <f t="shared" ca="1" si="193"/>
        <v>2279.1621540203882</v>
      </c>
      <c r="R441" s="306">
        <f t="shared" ca="1" si="194"/>
        <v>1.3706291728710112</v>
      </c>
      <c r="S441" s="307">
        <f t="shared" ca="1" si="195"/>
        <v>18.309782060731468</v>
      </c>
      <c r="T441" s="304">
        <f t="shared" ca="1" si="175"/>
        <v>179.61896201577571</v>
      </c>
      <c r="U441" s="311">
        <f t="shared" ca="1" si="176"/>
        <v>0</v>
      </c>
      <c r="V441" s="306">
        <f t="shared" ca="1" si="177"/>
        <v>1.1470763051243784</v>
      </c>
      <c r="W441" s="304">
        <f t="shared" ca="1" si="178"/>
        <v>742.08041677642655</v>
      </c>
      <c r="Y441" s="314" t="str">
        <f t="shared" ca="1" si="196"/>
        <v/>
      </c>
      <c r="Z441" s="315" t="str">
        <f t="shared" ca="1" si="197"/>
        <v/>
      </c>
      <c r="AA441" s="316" t="str">
        <f t="shared" ca="1" si="198"/>
        <v/>
      </c>
      <c r="AC441" s="310" t="e">
        <f t="shared" ca="1" si="199"/>
        <v>#N/A</v>
      </c>
      <c r="AD441" s="323" t="e">
        <f t="shared" ca="1" si="200"/>
        <v>#N/A</v>
      </c>
      <c r="AE441" s="324">
        <f t="shared" ca="1" si="179"/>
        <v>657.00833238191899</v>
      </c>
      <c r="AG441" s="306">
        <f t="shared" ca="1" si="201"/>
        <v>74.966126894527562</v>
      </c>
      <c r="AH441" s="304">
        <f t="shared" ca="1" si="202"/>
        <v>84.118327553622564</v>
      </c>
    </row>
    <row r="442" spans="1:34" x14ac:dyDescent="0.2">
      <c r="A442" s="347">
        <f t="shared" ca="1" si="180"/>
        <v>0.01</v>
      </c>
      <c r="B442" s="304">
        <f t="shared" ca="1" si="181"/>
        <v>4.379999999999951</v>
      </c>
      <c r="D442" s="306">
        <f t="shared" ca="1" si="182"/>
        <v>30.240249410960605</v>
      </c>
      <c r="E442" s="307">
        <f t="shared" ca="1" si="183"/>
        <v>68.529852585692765</v>
      </c>
      <c r="F442" s="304">
        <f t="shared" ca="1" si="184"/>
        <v>74.905362824392512</v>
      </c>
      <c r="G442" s="306">
        <f t="shared" ca="1" si="185"/>
        <v>120.26818095140609</v>
      </c>
      <c r="H442" s="307">
        <f t="shared" ca="1" si="186"/>
        <v>311.46651173457252</v>
      </c>
      <c r="I442" s="304">
        <f t="shared" ca="1" si="187"/>
        <v>333.87995339861715</v>
      </c>
      <c r="J442" s="306">
        <f t="shared" ca="1" si="188"/>
        <v>238.79523248776704</v>
      </c>
      <c r="K442" s="307">
        <f t="shared" ca="1" si="189"/>
        <v>660.1195710066354</v>
      </c>
      <c r="L442" s="304">
        <f t="shared" ca="1" si="174"/>
        <v>701.98362593786408</v>
      </c>
      <c r="M442" s="306">
        <f t="shared" ca="1" si="190"/>
        <v>1.2022992126675358</v>
      </c>
      <c r="N442" s="304">
        <f t="shared" ca="1" si="191"/>
        <v>68.886670597751603</v>
      </c>
      <c r="P442" s="310">
        <f t="shared" ca="1" si="192"/>
        <v>14</v>
      </c>
      <c r="Q442" s="304">
        <f t="shared" ca="1" si="193"/>
        <v>2278.4724371460961</v>
      </c>
      <c r="R442" s="306">
        <f t="shared" ca="1" si="194"/>
        <v>1.3702143949811367</v>
      </c>
      <c r="S442" s="307">
        <f t="shared" ca="1" si="195"/>
        <v>18.296079916781657</v>
      </c>
      <c r="T442" s="304">
        <f t="shared" ca="1" si="175"/>
        <v>179.48454398362807</v>
      </c>
      <c r="U442" s="311">
        <f t="shared" ca="1" si="176"/>
        <v>0</v>
      </c>
      <c r="V442" s="306">
        <f t="shared" ca="1" si="177"/>
        <v>1.1467190905692588</v>
      </c>
      <c r="W442" s="304">
        <f t="shared" ca="1" si="178"/>
        <v>745.18548882950927</v>
      </c>
      <c r="Y442" s="314" t="str">
        <f t="shared" ca="1" si="196"/>
        <v/>
      </c>
      <c r="Z442" s="315" t="str">
        <f t="shared" ca="1" si="197"/>
        <v/>
      </c>
      <c r="AA442" s="316" t="str">
        <f t="shared" ca="1" si="198"/>
        <v/>
      </c>
      <c r="AC442" s="310" t="e">
        <f t="shared" ca="1" si="199"/>
        <v>#N/A</v>
      </c>
      <c r="AD442" s="323" t="e">
        <f t="shared" ca="1" si="200"/>
        <v>#N/A</v>
      </c>
      <c r="AE442" s="324">
        <f t="shared" ca="1" si="179"/>
        <v>660.1195710066354</v>
      </c>
      <c r="AG442" s="306">
        <f t="shared" ca="1" si="201"/>
        <v>74.822010146149651</v>
      </c>
      <c r="AH442" s="304">
        <f t="shared" ca="1" si="202"/>
        <v>83.97383632766325</v>
      </c>
    </row>
    <row r="443" spans="1:34" x14ac:dyDescent="0.2">
      <c r="A443" s="347">
        <f t="shared" ca="1" si="180"/>
        <v>0.01</v>
      </c>
      <c r="B443" s="304">
        <f t="shared" ca="1" si="181"/>
        <v>4.3899999999999508</v>
      </c>
      <c r="D443" s="306">
        <f t="shared" ca="1" si="182"/>
        <v>30.196433930665222</v>
      </c>
      <c r="E443" s="307">
        <f t="shared" ca="1" si="183"/>
        <v>68.391714441893086</v>
      </c>
      <c r="F443" s="304">
        <f t="shared" ca="1" si="184"/>
        <v>74.76129497561206</v>
      </c>
      <c r="G443" s="306">
        <f t="shared" ca="1" si="185"/>
        <v>120.57014529071274</v>
      </c>
      <c r="H443" s="307">
        <f t="shared" ca="1" si="186"/>
        <v>312.15042887899148</v>
      </c>
      <c r="I443" s="304">
        <f t="shared" ca="1" si="187"/>
        <v>334.62673262123263</v>
      </c>
      <c r="J443" s="306">
        <f t="shared" ca="1" si="188"/>
        <v>239.99942411897763</v>
      </c>
      <c r="K443" s="307">
        <f t="shared" ca="1" si="189"/>
        <v>663.23765570970318</v>
      </c>
      <c r="L443" s="304">
        <f t="shared" ca="1" si="174"/>
        <v>705.32539407619777</v>
      </c>
      <c r="M443" s="306">
        <f t="shared" ca="1" si="190"/>
        <v>1.2021936114869627</v>
      </c>
      <c r="N443" s="304">
        <f t="shared" ca="1" si="191"/>
        <v>68.880620095793162</v>
      </c>
      <c r="P443" s="310">
        <f t="shared" ca="1" si="192"/>
        <v>14</v>
      </c>
      <c r="Q443" s="304">
        <f t="shared" ca="1" si="193"/>
        <v>2277.782720271804</v>
      </c>
      <c r="R443" s="306">
        <f t="shared" ca="1" si="194"/>
        <v>1.3697996170912625</v>
      </c>
      <c r="S443" s="307">
        <f t="shared" ca="1" si="195"/>
        <v>18.282381920610746</v>
      </c>
      <c r="T443" s="304">
        <f t="shared" ca="1" si="175"/>
        <v>179.35016664119144</v>
      </c>
      <c r="U443" s="311">
        <f t="shared" ca="1" si="176"/>
        <v>0</v>
      </c>
      <c r="V443" s="306">
        <f t="shared" ca="1" si="177"/>
        <v>1.1463611979127695</v>
      </c>
      <c r="W443" s="304">
        <f t="shared" ca="1" si="178"/>
        <v>748.28906958935511</v>
      </c>
      <c r="Y443" s="314" t="str">
        <f t="shared" ca="1" si="196"/>
        <v/>
      </c>
      <c r="Z443" s="315" t="str">
        <f t="shared" ca="1" si="197"/>
        <v/>
      </c>
      <c r="AA443" s="316" t="str">
        <f t="shared" ca="1" si="198"/>
        <v/>
      </c>
      <c r="AC443" s="310" t="e">
        <f t="shared" ca="1" si="199"/>
        <v>#N/A</v>
      </c>
      <c r="AD443" s="323" t="e">
        <f t="shared" ca="1" si="200"/>
        <v>#N/A</v>
      </c>
      <c r="AE443" s="324">
        <f t="shared" ca="1" si="179"/>
        <v>663.23765570970318</v>
      </c>
      <c r="AG443" s="306">
        <f t="shared" ca="1" si="201"/>
        <v>74.677735680213246</v>
      </c>
      <c r="AH443" s="304">
        <f t="shared" ca="1" si="202"/>
        <v>83.829188018138524</v>
      </c>
    </row>
    <row r="444" spans="1:34" x14ac:dyDescent="0.2">
      <c r="A444" s="347">
        <f t="shared" ca="1" si="180"/>
        <v>0.01</v>
      </c>
      <c r="B444" s="304">
        <f t="shared" ca="1" si="181"/>
        <v>4.3999999999999506</v>
      </c>
      <c r="D444" s="306">
        <f t="shared" ca="1" si="182"/>
        <v>30.152517791924829</v>
      </c>
      <c r="E444" s="307">
        <f t="shared" ca="1" si="183"/>
        <v>68.253448773630609</v>
      </c>
      <c r="F444" s="304">
        <f t="shared" ca="1" si="184"/>
        <v>74.617073104531244</v>
      </c>
      <c r="G444" s="306">
        <f t="shared" ca="1" si="185"/>
        <v>120.87167046863199</v>
      </c>
      <c r="H444" s="307">
        <f t="shared" ca="1" si="186"/>
        <v>312.83296336672777</v>
      </c>
      <c r="I444" s="304">
        <f t="shared" ca="1" si="187"/>
        <v>335.37206754690527</v>
      </c>
      <c r="J444" s="306">
        <f t="shared" ca="1" si="188"/>
        <v>241.20663319777435</v>
      </c>
      <c r="K444" s="307">
        <f t="shared" ca="1" si="189"/>
        <v>666.36257267093174</v>
      </c>
      <c r="L444" s="304">
        <f t="shared" ca="1" si="174"/>
        <v>708.67462079238339</v>
      </c>
      <c r="M444" s="306">
        <f t="shared" ca="1" si="190"/>
        <v>1.2020882161804334</v>
      </c>
      <c r="N444" s="304">
        <f t="shared" ca="1" si="191"/>
        <v>68.874581389548553</v>
      </c>
      <c r="P444" s="310">
        <f t="shared" ca="1" si="192"/>
        <v>14</v>
      </c>
      <c r="Q444" s="304">
        <f t="shared" ca="1" si="193"/>
        <v>2277.0930033975119</v>
      </c>
      <c r="R444" s="306">
        <f t="shared" ca="1" si="194"/>
        <v>1.3693848392013881</v>
      </c>
      <c r="S444" s="307">
        <f t="shared" ca="1" si="195"/>
        <v>18.268688072218733</v>
      </c>
      <c r="T444" s="304">
        <f t="shared" ca="1" si="175"/>
        <v>179.21582998846577</v>
      </c>
      <c r="U444" s="311">
        <f t="shared" ca="1" si="176"/>
        <v>0</v>
      </c>
      <c r="V444" s="306">
        <f t="shared" ca="1" si="177"/>
        <v>1.1460026294030712</v>
      </c>
      <c r="W444" s="304">
        <f t="shared" ca="1" si="178"/>
        <v>751.39110351730267</v>
      </c>
      <c r="Y444" s="314" t="str">
        <f t="shared" ca="1" si="196"/>
        <v/>
      </c>
      <c r="Z444" s="315" t="str">
        <f t="shared" ca="1" si="197"/>
        <v/>
      </c>
      <c r="AA444" s="316" t="str">
        <f t="shared" ca="1" si="198"/>
        <v/>
      </c>
      <c r="AC444" s="310" t="e">
        <f t="shared" ca="1" si="199"/>
        <v>#N/A</v>
      </c>
      <c r="AD444" s="323" t="e">
        <f t="shared" ca="1" si="200"/>
        <v>#N/A</v>
      </c>
      <c r="AE444" s="324">
        <f t="shared" ca="1" si="179"/>
        <v>666.36257267093174</v>
      </c>
      <c r="AG444" s="306">
        <f t="shared" ca="1" si="201"/>
        <v>74.533306298761957</v>
      </c>
      <c r="AH444" s="304">
        <f t="shared" ca="1" si="202"/>
        <v>83.684385423002269</v>
      </c>
    </row>
    <row r="445" spans="1:34" x14ac:dyDescent="0.2">
      <c r="A445" s="347">
        <f t="shared" ca="1" si="180"/>
        <v>0.01</v>
      </c>
      <c r="B445" s="304">
        <f t="shared" ca="1" si="181"/>
        <v>4.4099999999999504</v>
      </c>
      <c r="D445" s="306">
        <f t="shared" ca="1" si="182"/>
        <v>30.108502146456761</v>
      </c>
      <c r="E445" s="307">
        <f t="shared" ca="1" si="183"/>
        <v>68.115058142171605</v>
      </c>
      <c r="F445" s="304">
        <f t="shared" ca="1" si="184"/>
        <v>74.472700012921578</v>
      </c>
      <c r="G445" s="306">
        <f t="shared" ca="1" si="185"/>
        <v>121.17275549009656</v>
      </c>
      <c r="H445" s="307">
        <f t="shared" ca="1" si="186"/>
        <v>313.51411394814949</v>
      </c>
      <c r="I445" s="304">
        <f t="shared" ca="1" si="187"/>
        <v>336.11595665447959</v>
      </c>
      <c r="J445" s="306">
        <f t="shared" ca="1" si="188"/>
        <v>242.41685532756799</v>
      </c>
      <c r="K445" s="307">
        <f t="shared" ca="1" si="189"/>
        <v>669.49430805750615</v>
      </c>
      <c r="L445" s="304">
        <f t="shared" ca="1" si="174"/>
        <v>712.03129163563165</v>
      </c>
      <c r="M445" s="306">
        <f t="shared" ca="1" si="190"/>
        <v>1.2019830254396433</v>
      </c>
      <c r="N445" s="304">
        <f t="shared" ca="1" si="191"/>
        <v>68.86855440405742</v>
      </c>
      <c r="P445" s="310">
        <f t="shared" ca="1" si="192"/>
        <v>14</v>
      </c>
      <c r="Q445" s="304">
        <f t="shared" ca="1" si="193"/>
        <v>2276.4032865232193</v>
      </c>
      <c r="R445" s="306">
        <f t="shared" ca="1" si="194"/>
        <v>1.3689700613115134</v>
      </c>
      <c r="S445" s="307">
        <f t="shared" ca="1" si="195"/>
        <v>18.25499837160562</v>
      </c>
      <c r="T445" s="304">
        <f t="shared" ca="1" si="175"/>
        <v>179.08153402545113</v>
      </c>
      <c r="U445" s="311">
        <f t="shared" ca="1" si="176"/>
        <v>0</v>
      </c>
      <c r="V445" s="306">
        <f t="shared" ca="1" si="177"/>
        <v>1.145643387288799</v>
      </c>
      <c r="W445" s="304">
        <f t="shared" ca="1" si="178"/>
        <v>754.49153530784201</v>
      </c>
      <c r="Y445" s="314" t="str">
        <f t="shared" ca="1" si="196"/>
        <v/>
      </c>
      <c r="Z445" s="315" t="str">
        <f t="shared" ca="1" si="197"/>
        <v/>
      </c>
      <c r="AA445" s="316" t="str">
        <f t="shared" ca="1" si="198"/>
        <v/>
      </c>
      <c r="AC445" s="310" t="e">
        <f t="shared" ca="1" si="199"/>
        <v>#N/A</v>
      </c>
      <c r="AD445" s="323" t="e">
        <f t="shared" ca="1" si="200"/>
        <v>#N/A</v>
      </c>
      <c r="AE445" s="324">
        <f t="shared" ca="1" si="179"/>
        <v>669.49430805750615</v>
      </c>
      <c r="AG445" s="306">
        <f t="shared" ca="1" si="201"/>
        <v>74.388724799729772</v>
      </c>
      <c r="AH445" s="304">
        <f t="shared" ca="1" si="202"/>
        <v>83.539431336130221</v>
      </c>
    </row>
    <row r="446" spans="1:34" x14ac:dyDescent="0.2">
      <c r="A446" s="347">
        <f t="shared" ca="1" si="180"/>
        <v>0.01</v>
      </c>
      <c r="B446" s="304">
        <f t="shared" ca="1" si="181"/>
        <v>4.4199999999999502</v>
      </c>
      <c r="D446" s="306">
        <f t="shared" ca="1" si="182"/>
        <v>30.06438814417821</v>
      </c>
      <c r="E446" s="307">
        <f t="shared" ca="1" si="183"/>
        <v>67.976545104898904</v>
      </c>
      <c r="F446" s="304">
        <f t="shared" ca="1" si="184"/>
        <v>74.328178498347171</v>
      </c>
      <c r="G446" s="306">
        <f t="shared" ca="1" si="185"/>
        <v>121.47339937153835</v>
      </c>
      <c r="H446" s="307">
        <f t="shared" ca="1" si="186"/>
        <v>314.19387939919847</v>
      </c>
      <c r="I446" s="304">
        <f t="shared" ca="1" si="187"/>
        <v>336.85839845073673</v>
      </c>
      <c r="J446" s="306">
        <f t="shared" ca="1" si="188"/>
        <v>243.63008610187617</v>
      </c>
      <c r="K446" s="307">
        <f t="shared" ca="1" si="189"/>
        <v>672.63284802424289</v>
      </c>
      <c r="L446" s="304">
        <f t="shared" ca="1" si="174"/>
        <v>715.39539214004719</v>
      </c>
      <c r="M446" s="306">
        <f t="shared" ca="1" si="190"/>
        <v>1.2018780379667626</v>
      </c>
      <c r="N446" s="304">
        <f t="shared" ca="1" si="191"/>
        <v>68.86253906495962</v>
      </c>
      <c r="P446" s="310">
        <f t="shared" ca="1" si="192"/>
        <v>14</v>
      </c>
      <c r="Q446" s="304">
        <f t="shared" ca="1" si="193"/>
        <v>2275.7135696489272</v>
      </c>
      <c r="R446" s="306">
        <f t="shared" ca="1" si="194"/>
        <v>1.368555283421639</v>
      </c>
      <c r="S446" s="307">
        <f t="shared" ca="1" si="195"/>
        <v>18.241312818771402</v>
      </c>
      <c r="T446" s="304">
        <f t="shared" ca="1" si="175"/>
        <v>178.94727875214747</v>
      </c>
      <c r="U446" s="311">
        <f t="shared" ca="1" si="176"/>
        <v>0</v>
      </c>
      <c r="V446" s="306">
        <f t="shared" ca="1" si="177"/>
        <v>1.1452834738190159</v>
      </c>
      <c r="W446" s="304">
        <f t="shared" ca="1" si="178"/>
        <v>757.59030989016526</v>
      </c>
      <c r="Y446" s="314" t="str">
        <f t="shared" ca="1" si="196"/>
        <v/>
      </c>
      <c r="Z446" s="315" t="str">
        <f t="shared" ca="1" si="197"/>
        <v/>
      </c>
      <c r="AA446" s="316" t="str">
        <f t="shared" ca="1" si="198"/>
        <v/>
      </c>
      <c r="AC446" s="310" t="e">
        <f t="shared" ca="1" si="199"/>
        <v>#N/A</v>
      </c>
      <c r="AD446" s="323" t="e">
        <f t="shared" ca="1" si="200"/>
        <v>#N/A</v>
      </c>
      <c r="AE446" s="324">
        <f t="shared" ca="1" si="179"/>
        <v>672.63284802424289</v>
      </c>
      <c r="AG446" s="306">
        <f t="shared" ca="1" si="201"/>
        <v>74.243993976833067</v>
      </c>
      <c r="AH446" s="304">
        <f t="shared" ca="1" si="202"/>
        <v>83.394328547211629</v>
      </c>
    </row>
    <row r="447" spans="1:34" x14ac:dyDescent="0.2">
      <c r="A447" s="347">
        <f t="shared" ca="1" si="180"/>
        <v>0.01</v>
      </c>
      <c r="B447" s="304">
        <f t="shared" ca="1" si="181"/>
        <v>4.42999999999995</v>
      </c>
      <c r="D447" s="306">
        <f t="shared" ca="1" si="182"/>
        <v>30.020176933174298</v>
      </c>
      <c r="E447" s="307">
        <f t="shared" ca="1" si="183"/>
        <v>67.837912215210082</v>
      </c>
      <c r="F447" s="304">
        <f t="shared" ca="1" si="184"/>
        <v>74.183511354057913</v>
      </c>
      <c r="G447" s="306">
        <f t="shared" ca="1" si="185"/>
        <v>121.7736011408701</v>
      </c>
      <c r="H447" s="307">
        <f t="shared" ca="1" si="186"/>
        <v>314.87225852135055</v>
      </c>
      <c r="I447" s="304">
        <f t="shared" ca="1" si="187"/>
        <v>337.59939147035192</v>
      </c>
      <c r="J447" s="306">
        <f t="shared" ca="1" si="188"/>
        <v>244.8463211044382</v>
      </c>
      <c r="K447" s="307">
        <f t="shared" ca="1" si="189"/>
        <v>675.77817871384559</v>
      </c>
      <c r="L447" s="304">
        <f t="shared" ca="1" si="174"/>
        <v>718.766907824908</v>
      </c>
      <c r="M447" s="306">
        <f t="shared" ca="1" si="190"/>
        <v>1.201773252474325</v>
      </c>
      <c r="N447" s="304">
        <f t="shared" ca="1" si="191"/>
        <v>68.856535298488737</v>
      </c>
      <c r="P447" s="310">
        <f t="shared" ca="1" si="192"/>
        <v>14</v>
      </c>
      <c r="Q447" s="304">
        <f t="shared" ca="1" si="193"/>
        <v>2275.0238527746351</v>
      </c>
      <c r="R447" s="306">
        <f t="shared" ca="1" si="194"/>
        <v>1.3681405055317646</v>
      </c>
      <c r="S447" s="307">
        <f t="shared" ca="1" si="195"/>
        <v>18.227631413716082</v>
      </c>
      <c r="T447" s="304">
        <f t="shared" ca="1" si="175"/>
        <v>178.81306416855477</v>
      </c>
      <c r="U447" s="311">
        <f t="shared" ca="1" si="176"/>
        <v>0</v>
      </c>
      <c r="V447" s="306">
        <f t="shared" ca="1" si="177"/>
        <v>1.1449228912431721</v>
      </c>
      <c r="W447" s="304">
        <f t="shared" ca="1" si="178"/>
        <v>760.68737242970712</v>
      </c>
      <c r="Y447" s="314" t="str">
        <f t="shared" ca="1" si="196"/>
        <v/>
      </c>
      <c r="Z447" s="315" t="str">
        <f t="shared" ca="1" si="197"/>
        <v/>
      </c>
      <c r="AA447" s="316" t="str">
        <f t="shared" ca="1" si="198"/>
        <v/>
      </c>
      <c r="AC447" s="310" t="e">
        <f t="shared" ca="1" si="199"/>
        <v>#N/A</v>
      </c>
      <c r="AD447" s="323" t="e">
        <f t="shared" ca="1" si="200"/>
        <v>#N/A</v>
      </c>
      <c r="AE447" s="324">
        <f t="shared" ca="1" si="179"/>
        <v>675.77817871384559</v>
      </c>
      <c r="AG447" s="306">
        <f t="shared" ca="1" si="201"/>
        <v>74.09911661946353</v>
      </c>
      <c r="AH447" s="304">
        <f t="shared" ca="1" si="202"/>
        <v>83.249079841641873</v>
      </c>
    </row>
    <row r="448" spans="1:34" x14ac:dyDescent="0.2">
      <c r="A448" s="347">
        <f t="shared" ca="1" si="180"/>
        <v>0.01</v>
      </c>
      <c r="B448" s="304">
        <f t="shared" ca="1" si="181"/>
        <v>4.4399999999999498</v>
      </c>
      <c r="D448" s="306">
        <f t="shared" ca="1" si="182"/>
        <v>29.975869659666305</v>
      </c>
      <c r="E448" s="307">
        <f t="shared" ca="1" si="183"/>
        <v>67.699162022415962</v>
      </c>
      <c r="F448" s="304">
        <f t="shared" ca="1" si="184"/>
        <v>74.038701368882954</v>
      </c>
      <c r="G448" s="306">
        <f t="shared" ca="1" si="185"/>
        <v>122.07335983746677</v>
      </c>
      <c r="H448" s="307">
        <f t="shared" ca="1" si="186"/>
        <v>315.5492501415747</v>
      </c>
      <c r="I448" s="304">
        <f t="shared" ca="1" si="187"/>
        <v>338.33893427584968</v>
      </c>
      <c r="J448" s="306">
        <f t="shared" ca="1" si="188"/>
        <v>246.0655559093299</v>
      </c>
      <c r="K448" s="307">
        <f t="shared" ca="1" si="189"/>
        <v>678.93028625716022</v>
      </c>
      <c r="L448" s="304">
        <f t="shared" ca="1" si="174"/>
        <v>722.14582419494548</v>
      </c>
      <c r="M448" s="306">
        <f t="shared" ca="1" si="190"/>
        <v>1.2016686676851192</v>
      </c>
      <c r="N448" s="304">
        <f t="shared" ca="1" si="191"/>
        <v>68.850543031465975</v>
      </c>
      <c r="P448" s="310">
        <f t="shared" ca="1" si="192"/>
        <v>14</v>
      </c>
      <c r="Q448" s="304">
        <f t="shared" ca="1" si="193"/>
        <v>2274.334135900343</v>
      </c>
      <c r="R448" s="306">
        <f t="shared" ca="1" si="194"/>
        <v>1.3677257276418902</v>
      </c>
      <c r="S448" s="307">
        <f t="shared" ca="1" si="195"/>
        <v>18.213954156439662</v>
      </c>
      <c r="T448" s="304">
        <f t="shared" ca="1" si="175"/>
        <v>178.67889027467311</v>
      </c>
      <c r="U448" s="311">
        <f t="shared" ca="1" si="176"/>
        <v>0</v>
      </c>
      <c r="V448" s="306">
        <f t="shared" ca="1" si="177"/>
        <v>1.1445616418110616</v>
      </c>
      <c r="W448" s="304">
        <f t="shared" ca="1" si="178"/>
        <v>763.78266832965357</v>
      </c>
      <c r="Y448" s="314" t="str">
        <f t="shared" ca="1" si="196"/>
        <v/>
      </c>
      <c r="Z448" s="315" t="str">
        <f t="shared" ca="1" si="197"/>
        <v/>
      </c>
      <c r="AA448" s="316" t="str">
        <f t="shared" ca="1" si="198"/>
        <v/>
      </c>
      <c r="AC448" s="310" t="e">
        <f t="shared" ca="1" si="199"/>
        <v>#N/A</v>
      </c>
      <c r="AD448" s="323" t="e">
        <f t="shared" ca="1" si="200"/>
        <v>#N/A</v>
      </c>
      <c r="AE448" s="324">
        <f t="shared" ca="1" si="179"/>
        <v>678.93028625716022</v>
      </c>
      <c r="AG448" s="306">
        <f t="shared" ca="1" si="201"/>
        <v>73.954095512581716</v>
      </c>
      <c r="AH448" s="304">
        <f t="shared" ca="1" si="202"/>
        <v>83.103688000415673</v>
      </c>
    </row>
    <row r="449" spans="1:34" x14ac:dyDescent="0.2">
      <c r="A449" s="347">
        <f t="shared" ca="1" si="180"/>
        <v>0.01</v>
      </c>
      <c r="B449" s="304">
        <f t="shared" ca="1" si="181"/>
        <v>4.4499999999999496</v>
      </c>
      <c r="D449" s="306">
        <f t="shared" ca="1" si="182"/>
        <v>29.931467467979957</v>
      </c>
      <c r="E449" s="307">
        <f t="shared" ca="1" si="183"/>
        <v>67.560297071640036</v>
      </c>
      <c r="F449" s="304">
        <f t="shared" ca="1" si="184"/>
        <v>73.893751327125059</v>
      </c>
      <c r="G449" s="306">
        <f t="shared" ca="1" si="185"/>
        <v>122.37267451214657</v>
      </c>
      <c r="H449" s="307">
        <f t="shared" ca="1" si="186"/>
        <v>316.2248531122911</v>
      </c>
      <c r="I449" s="304">
        <f t="shared" ca="1" si="187"/>
        <v>339.07702545755859</v>
      </c>
      <c r="J449" s="306">
        <f t="shared" ca="1" si="188"/>
        <v>247.28778608107797</v>
      </c>
      <c r="K449" s="307">
        <f t="shared" ca="1" si="189"/>
        <v>682.08915677342952</v>
      </c>
      <c r="L449" s="304">
        <f t="shared" ca="1" si="174"/>
        <v>725.53212674062138</v>
      </c>
      <c r="M449" s="306">
        <f t="shared" ca="1" si="190"/>
        <v>1.2015642823320805</v>
      </c>
      <c r="N449" s="304">
        <f t="shared" ca="1" si="191"/>
        <v>68.844562191293875</v>
      </c>
      <c r="P449" s="310">
        <f t="shared" ca="1" si="192"/>
        <v>14</v>
      </c>
      <c r="Q449" s="304">
        <f t="shared" ca="1" si="193"/>
        <v>2273.6444190260509</v>
      </c>
      <c r="R449" s="306">
        <f t="shared" ca="1" si="194"/>
        <v>1.3673109497520157</v>
      </c>
      <c r="S449" s="307">
        <f t="shared" ca="1" si="195"/>
        <v>18.200281046942141</v>
      </c>
      <c r="T449" s="304">
        <f t="shared" ca="1" si="175"/>
        <v>178.54475707050241</v>
      </c>
      <c r="U449" s="311">
        <f t="shared" ca="1" si="176"/>
        <v>0</v>
      </c>
      <c r="V449" s="306">
        <f t="shared" ca="1" si="177"/>
        <v>1.1441997277727813</v>
      </c>
      <c r="W449" s="304">
        <f t="shared" ca="1" si="178"/>
        <v>766.87614323243679</v>
      </c>
      <c r="Y449" s="314" t="str">
        <f t="shared" ca="1" si="196"/>
        <v/>
      </c>
      <c r="Z449" s="315" t="str">
        <f t="shared" ca="1" si="197"/>
        <v/>
      </c>
      <c r="AA449" s="316" t="str">
        <f t="shared" ca="1" si="198"/>
        <v/>
      </c>
      <c r="AC449" s="310" t="e">
        <f t="shared" ca="1" si="199"/>
        <v>#N/A</v>
      </c>
      <c r="AD449" s="323" t="e">
        <f t="shared" ca="1" si="200"/>
        <v>#N/A</v>
      </c>
      <c r="AE449" s="324">
        <f t="shared" ca="1" si="179"/>
        <v>682.08915677342952</v>
      </c>
      <c r="AG449" s="306">
        <f t="shared" ca="1" si="201"/>
        <v>73.808933436611284</v>
      </c>
      <c r="AH449" s="304">
        <f t="shared" ca="1" si="202"/>
        <v>82.958155800021103</v>
      </c>
    </row>
    <row r="450" spans="1:34" x14ac:dyDescent="0.2">
      <c r="A450" s="347">
        <f t="shared" ca="1" si="180"/>
        <v>0.01</v>
      </c>
      <c r="B450" s="304">
        <f t="shared" ca="1" si="181"/>
        <v>4.4599999999999493</v>
      </c>
      <c r="D450" s="306">
        <f t="shared" ca="1" si="182"/>
        <v>29.886971500513877</v>
      </c>
      <c r="E450" s="307">
        <f t="shared" ca="1" si="183"/>
        <v>67.421319903718654</v>
      </c>
      <c r="F450" s="304">
        <f t="shared" ca="1" si="184"/>
        <v>73.748664008455762</v>
      </c>
      <c r="G450" s="306">
        <f t="shared" ca="1" si="185"/>
        <v>122.67154422715171</v>
      </c>
      <c r="H450" s="307">
        <f t="shared" ca="1" si="186"/>
        <v>316.89906631132828</v>
      </c>
      <c r="I450" s="304">
        <f t="shared" ca="1" si="187"/>
        <v>339.81366363356506</v>
      </c>
      <c r="J450" s="306">
        <f t="shared" ca="1" si="188"/>
        <v>248.51300717477446</v>
      </c>
      <c r="K450" s="307">
        <f t="shared" ca="1" si="189"/>
        <v>685.25477637054757</v>
      </c>
      <c r="L450" s="304">
        <f t="shared" ca="1" si="174"/>
        <v>728.92580093840741</v>
      </c>
      <c r="M450" s="306">
        <f t="shared" ca="1" si="190"/>
        <v>1.2014600951581862</v>
      </c>
      <c r="N450" s="304">
        <f t="shared" ca="1" si="191"/>
        <v>68.838592705950347</v>
      </c>
      <c r="P450" s="310">
        <f t="shared" ca="1" si="192"/>
        <v>14</v>
      </c>
      <c r="Q450" s="304">
        <f t="shared" ca="1" si="193"/>
        <v>2272.9547021517587</v>
      </c>
      <c r="R450" s="306">
        <f t="shared" ca="1" si="194"/>
        <v>1.3668961718621413</v>
      </c>
      <c r="S450" s="307">
        <f t="shared" ca="1" si="195"/>
        <v>18.186612085223519</v>
      </c>
      <c r="T450" s="304">
        <f t="shared" ca="1" si="175"/>
        <v>178.41066455604272</v>
      </c>
      <c r="U450" s="311">
        <f t="shared" ca="1" si="176"/>
        <v>0</v>
      </c>
      <c r="V450" s="306">
        <f t="shared" ca="1" si="177"/>
        <v>1.1438371513786878</v>
      </c>
      <c r="W450" s="304">
        <f t="shared" ca="1" si="178"/>
        <v>769.96774302120343</v>
      </c>
      <c r="Y450" s="314" t="str">
        <f t="shared" ca="1" si="196"/>
        <v/>
      </c>
      <c r="Z450" s="315" t="str">
        <f t="shared" ca="1" si="197"/>
        <v/>
      </c>
      <c r="AA450" s="316" t="str">
        <f t="shared" ca="1" si="198"/>
        <v/>
      </c>
      <c r="AC450" s="310" t="e">
        <f t="shared" ca="1" si="199"/>
        <v>#N/A</v>
      </c>
      <c r="AD450" s="323" t="e">
        <f t="shared" ca="1" si="200"/>
        <v>#N/A</v>
      </c>
      <c r="AE450" s="324">
        <f t="shared" ca="1" si="179"/>
        <v>685.25477637054757</v>
      </c>
      <c r="AG450" s="306">
        <f t="shared" ca="1" si="201"/>
        <v>73.663633167334098</v>
      </c>
      <c r="AH450" s="304">
        <f t="shared" ca="1" si="202"/>
        <v>82.812486012334261</v>
      </c>
    </row>
    <row r="451" spans="1:34" x14ac:dyDescent="0.2">
      <c r="A451" s="347">
        <f t="shared" ca="1" si="180"/>
        <v>0.01</v>
      </c>
      <c r="B451" s="304">
        <f t="shared" ca="1" si="181"/>
        <v>4.4699999999999491</v>
      </c>
      <c r="D451" s="306">
        <f t="shared" ca="1" si="182"/>
        <v>29.842382897707974</v>
      </c>
      <c r="E451" s="307">
        <f t="shared" ca="1" si="183"/>
        <v>67.282233055101798</v>
      </c>
      <c r="F451" s="304">
        <f t="shared" ca="1" si="184"/>
        <v>73.603442187811069</v>
      </c>
      <c r="G451" s="306">
        <f t="shared" ca="1" si="185"/>
        <v>122.96996805612879</v>
      </c>
      <c r="H451" s="307">
        <f t="shared" ca="1" si="186"/>
        <v>317.5718886418793</v>
      </c>
      <c r="I451" s="304">
        <f t="shared" ca="1" si="187"/>
        <v>340.54884744966546</v>
      </c>
      <c r="J451" s="306">
        <f t="shared" ca="1" si="188"/>
        <v>249.74121473619087</v>
      </c>
      <c r="K451" s="307">
        <f t="shared" ca="1" si="189"/>
        <v>688.42713114531364</v>
      </c>
      <c r="L451" s="304">
        <f t="shared" ca="1" si="174"/>
        <v>732.326832251062</v>
      </c>
      <c r="M451" s="306">
        <f t="shared" ca="1" si="190"/>
        <v>1.2013561049163497</v>
      </c>
      <c r="N451" s="304">
        <f t="shared" ca="1" si="191"/>
        <v>68.832634503982561</v>
      </c>
      <c r="P451" s="310">
        <f t="shared" ca="1" si="192"/>
        <v>14</v>
      </c>
      <c r="Q451" s="304">
        <f t="shared" ca="1" si="193"/>
        <v>2272.2649852774666</v>
      </c>
      <c r="R451" s="306">
        <f t="shared" ca="1" si="194"/>
        <v>1.3664813939722669</v>
      </c>
      <c r="S451" s="307">
        <f t="shared" ca="1" si="195"/>
        <v>18.172947271283796</v>
      </c>
      <c r="T451" s="304">
        <f t="shared" ca="1" si="175"/>
        <v>178.27661273129405</v>
      </c>
      <c r="U451" s="311">
        <f t="shared" ca="1" si="176"/>
        <v>0</v>
      </c>
      <c r="V451" s="306">
        <f t="shared" ca="1" si="177"/>
        <v>1.1434739148793551</v>
      </c>
      <c r="W451" s="304">
        <f t="shared" ca="1" si="178"/>
        <v>773.05741382125984</v>
      </c>
      <c r="Y451" s="314" t="str">
        <f t="shared" ca="1" si="196"/>
        <v/>
      </c>
      <c r="Z451" s="315" t="str">
        <f t="shared" ca="1" si="197"/>
        <v/>
      </c>
      <c r="AA451" s="316" t="str">
        <f t="shared" ca="1" si="198"/>
        <v/>
      </c>
      <c r="AC451" s="310" t="e">
        <f t="shared" ca="1" si="199"/>
        <v>#N/A</v>
      </c>
      <c r="AD451" s="323" t="e">
        <f t="shared" ca="1" si="200"/>
        <v>#N/A</v>
      </c>
      <c r="AE451" s="324">
        <f t="shared" ca="1" si="179"/>
        <v>688.42713114531364</v>
      </c>
      <c r="AG451" s="306">
        <f t="shared" ca="1" si="201"/>
        <v>73.518197475785925</v>
      </c>
      <c r="AH451" s="304">
        <f t="shared" ca="1" si="202"/>
        <v>82.666681404514748</v>
      </c>
    </row>
    <row r="452" spans="1:34" x14ac:dyDescent="0.2">
      <c r="A452" s="347">
        <f t="shared" ca="1" si="180"/>
        <v>0.01</v>
      </c>
      <c r="B452" s="304">
        <f t="shared" ca="1" si="181"/>
        <v>4.4799999999999489</v>
      </c>
      <c r="D452" s="306">
        <f t="shared" ca="1" si="182"/>
        <v>29.797702798012221</v>
      </c>
      <c r="E452" s="307">
        <f t="shared" ca="1" si="183"/>
        <v>67.143039057754919</v>
      </c>
      <c r="F452" s="304">
        <f t="shared" ca="1" si="184"/>
        <v>73.458088635288263</v>
      </c>
      <c r="G452" s="306">
        <f t="shared" ca="1" si="185"/>
        <v>123.26794508410892</v>
      </c>
      <c r="H452" s="307">
        <f t="shared" ca="1" si="186"/>
        <v>318.24331903245684</v>
      </c>
      <c r="I452" s="304">
        <f t="shared" ca="1" si="187"/>
        <v>341.28257557931812</v>
      </c>
      <c r="J452" s="306">
        <f t="shared" ca="1" si="188"/>
        <v>250.97240430189206</v>
      </c>
      <c r="K452" s="307">
        <f t="shared" ca="1" si="189"/>
        <v>691.60620718368534</v>
      </c>
      <c r="L452" s="304">
        <f t="shared" ref="L452:L515" ca="1" si="203">SQRT(pos_x^2+pos_z^2)</f>
        <v>735.73520612790787</v>
      </c>
      <c r="M452" s="306">
        <f t="shared" ca="1" si="190"/>
        <v>1.2012523103693173</v>
      </c>
      <c r="N452" s="304">
        <f t="shared" ca="1" si="191"/>
        <v>68.826687514501145</v>
      </c>
      <c r="P452" s="310">
        <f t="shared" ca="1" si="192"/>
        <v>14</v>
      </c>
      <c r="Q452" s="304">
        <f t="shared" ca="1" si="193"/>
        <v>2271.5752684031745</v>
      </c>
      <c r="R452" s="306">
        <f t="shared" ca="1" si="194"/>
        <v>1.3660666160823924</v>
      </c>
      <c r="S452" s="307">
        <f t="shared" ca="1" si="195"/>
        <v>18.159286605122972</v>
      </c>
      <c r="T452" s="304">
        <f t="shared" ref="T452:T515" ca="1" si="204">m*g</f>
        <v>178.14260159625636</v>
      </c>
      <c r="U452" s="311">
        <f t="shared" ref="U452:U515" ca="1" si="205">IF(pos_xz&lt;L_rampe,Poids*COS(Beta),0)</f>
        <v>0</v>
      </c>
      <c r="V452" s="306">
        <f t="shared" ref="V452:V515" ca="1" si="206">Rho_moyen*(20000-Alt_rampe-pos_z)/(20000+Alt_rampe+pos_z)</f>
        <v>1.1431100205255329</v>
      </c>
      <c r="W452" s="304">
        <f t="shared" ref="W452:W515" ca="1" si="207">1/2*Rho*Sref*Cx*vit_xz^2</f>
        <v>776.1451020015013</v>
      </c>
      <c r="Y452" s="314" t="str">
        <f t="shared" ca="1" si="196"/>
        <v/>
      </c>
      <c r="Z452" s="315" t="str">
        <f t="shared" ca="1" si="197"/>
        <v/>
      </c>
      <c r="AA452" s="316" t="str">
        <f t="shared" ca="1" si="198"/>
        <v/>
      </c>
      <c r="AC452" s="310" t="e">
        <f t="shared" ca="1" si="199"/>
        <v>#N/A</v>
      </c>
      <c r="AD452" s="323" t="e">
        <f t="shared" ca="1" si="200"/>
        <v>#N/A</v>
      </c>
      <c r="AE452" s="324">
        <f t="shared" ref="AE452:AE515" ca="1" si="208">IF(t&lt;T_para, pos_z, NA())</f>
        <v>691.60620718368534</v>
      </c>
      <c r="AG452" s="306">
        <f t="shared" ca="1" si="201"/>
        <v>73.372629128153065</v>
      </c>
      <c r="AH452" s="304">
        <f t="shared" ca="1" si="202"/>
        <v>82.520744738901982</v>
      </c>
    </row>
    <row r="453" spans="1:34" x14ac:dyDescent="0.2">
      <c r="A453" s="347">
        <f t="shared" ref="A453:A516" ca="1" si="209">IF(B452+0.01&lt;=T_ini+ROUNDUP(Temps_fin_propu,0), 0.01, IF(K452&gt;0, 0.1, 0.0001))</f>
        <v>0.01</v>
      </c>
      <c r="B453" s="304">
        <f t="shared" ref="B453:B516" ca="1" si="210">B452+pas</f>
        <v>4.4899999999999487</v>
      </c>
      <c r="D453" s="306">
        <f t="shared" ref="D453:D516" ca="1" si="211">IF(AND(L452&lt;L_rampe,Poussee&lt;Poids*SIN(M452)),0,(-W452+Poussee)/m*COS(M452)-U452/m*SIN(M452))</f>
        <v>29.752932337855267</v>
      </c>
      <c r="E453" s="307">
        <f t="shared" ref="E453:E516" ca="1" si="212">IF(AND(L452&lt;L_rampe,Poussee&lt;Poids*SIN(M452)),0,(-W452+Poussee)/m*SIN(M452)+U452/m*COS(M452)-Poids/m)</f>
        <v>67.003740439061076</v>
      </c>
      <c r="F453" s="304">
        <f t="shared" ref="F453:F516" ca="1" si="213">SQRT(acc_x^2+acc_z^2)</f>
        <v>73.312606116042971</v>
      </c>
      <c r="G453" s="306">
        <f t="shared" ref="G453:G516" ca="1" si="214">G452+acc_x*pas</f>
        <v>123.56547440748747</v>
      </c>
      <c r="H453" s="307">
        <f t="shared" ref="H453:H516" ca="1" si="215">H452+acc_z*pas</f>
        <v>318.91335643684744</v>
      </c>
      <c r="I453" s="304">
        <f t="shared" ref="I453:I516" ca="1" si="216">SQRT(vit_x^2+vit_z^2)</f>
        <v>342.01484672359351</v>
      </c>
      <c r="J453" s="306">
        <f t="shared" ref="J453:J516" ca="1" si="217">J452+0.5*(vit_x+G452)*pas*(K452&gt;=0)</f>
        <v>252.20657139935003</v>
      </c>
      <c r="K453" s="307">
        <f t="shared" ref="K453:K516" ca="1" si="218">K452+0.5*(vit_z+H452)*pas</f>
        <v>694.79199056103187</v>
      </c>
      <c r="L453" s="304">
        <f t="shared" ca="1" si="203"/>
        <v>739.15090800510859</v>
      </c>
      <c r="M453" s="306">
        <f t="shared" ref="M453:M516" ca="1" si="219">IF(AND(L452&gt;L_rampe,G453&gt;0),ATAN2(G453,H453),$M$4)</f>
        <v>1.2011487102895668</v>
      </c>
      <c r="N453" s="304">
        <f t="shared" ref="N453:N516" ca="1" si="220">DEGREES(Beta)</f>
        <v>68.820751667174221</v>
      </c>
      <c r="P453" s="310">
        <f t="shared" ref="P453:P516" ca="1" si="221">MATCH(t-pas/2-T_ini,CdP_t)</f>
        <v>14</v>
      </c>
      <c r="Q453" s="304">
        <f t="shared" ref="Q453:Q516" ca="1" si="222">(INDEX(CdP,2,i_P+1)-INDEX(CdP,2,i_P+0))/(INDEX(CdP,1,i_P+1)-INDEX(CdP,1,i_P+0))*(t-pas/2-T_ini-INDEX(CdP,1,i_P+0))+INDEX(CdP,2,i_P+0)</f>
        <v>2270.8855515288824</v>
      </c>
      <c r="R453" s="306">
        <f t="shared" ref="R453:R516" ca="1" si="223">Poussee/(g*ISP)</f>
        <v>1.365651838192518</v>
      </c>
      <c r="S453" s="307">
        <f t="shared" ref="S453:S516" ca="1" si="224">S452-Débit*pas</f>
        <v>18.145630086741047</v>
      </c>
      <c r="T453" s="304">
        <f t="shared" ca="1" si="204"/>
        <v>178.00863115092969</v>
      </c>
      <c r="U453" s="311">
        <f t="shared" ca="1" si="205"/>
        <v>0</v>
      </c>
      <c r="V453" s="306">
        <f t="shared" ca="1" si="206"/>
        <v>1.1427454705681059</v>
      </c>
      <c r="W453" s="304">
        <f t="shared" ca="1" si="207"/>
        <v>779.23075417581367</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f t="shared" ca="1" si="208"/>
        <v>694.79199056103187</v>
      </c>
      <c r="AG453" s="306">
        <f t="shared" ref="AG453:AG516" ca="1" si="230">IF(AND(L452&lt;L_rampe,Poussee&lt;Poids*SIN(M452)),0,(-W452+Poussee)/m-Poids*SIN(M452)/m)</f>
        <v>73.226930885669461</v>
      </c>
      <c r="AH453" s="304">
        <f t="shared" ref="AH453:AH516" ca="1" si="231">IF(AND(L452&lt;L_rampe,Poussee&lt;Poids*SIN(M452)), g*SIN(M452), (-W452+Poussee)/m)</f>
        <v>82.374678772912006</v>
      </c>
    </row>
    <row r="454" spans="1:34" x14ac:dyDescent="0.2">
      <c r="A454" s="347">
        <f t="shared" ca="1" si="209"/>
        <v>0.01</v>
      </c>
      <c r="B454" s="304">
        <f t="shared" ca="1" si="210"/>
        <v>4.4999999999999485</v>
      </c>
      <c r="D454" s="306">
        <f t="shared" ca="1" si="211"/>
        <v>29.708072651613303</v>
      </c>
      <c r="E454" s="307">
        <f t="shared" ca="1" si="212"/>
        <v>66.864339721724207</v>
      </c>
      <c r="F454" s="304">
        <f t="shared" ca="1" si="213"/>
        <v>73.166997390187333</v>
      </c>
      <c r="G454" s="306">
        <f t="shared" ca="1" si="214"/>
        <v>123.8625551340036</v>
      </c>
      <c r="H454" s="307">
        <f t="shared" ca="1" si="215"/>
        <v>319.58199983406467</v>
      </c>
      <c r="I454" s="304">
        <f t="shared" ca="1" si="216"/>
        <v>342.74565961112359</v>
      </c>
      <c r="J454" s="306">
        <f t="shared" ca="1" si="217"/>
        <v>253.44371154705749</v>
      </c>
      <c r="K454" s="307">
        <f t="shared" ca="1" si="218"/>
        <v>697.98446734238644</v>
      </c>
      <c r="L454" s="304">
        <f t="shared" ca="1" si="203"/>
        <v>742.57392330594473</v>
      </c>
      <c r="M454" s="306">
        <f t="shared" ca="1" si="219"/>
        <v>1.2010453034592066</v>
      </c>
      <c r="N454" s="304">
        <f t="shared" ca="1" si="220"/>
        <v>68.814826892221745</v>
      </c>
      <c r="P454" s="310">
        <f t="shared" ca="1" si="221"/>
        <v>14</v>
      </c>
      <c r="Q454" s="304">
        <f t="shared" ca="1" si="222"/>
        <v>2270.1958346545898</v>
      </c>
      <c r="R454" s="306">
        <f t="shared" ca="1" si="223"/>
        <v>1.3652370603026434</v>
      </c>
      <c r="S454" s="307">
        <f t="shared" ca="1" si="224"/>
        <v>18.131977716138021</v>
      </c>
      <c r="T454" s="304">
        <f t="shared" ca="1" si="204"/>
        <v>177.87470139531399</v>
      </c>
      <c r="U454" s="311">
        <f t="shared" ca="1" si="205"/>
        <v>0</v>
      </c>
      <c r="V454" s="306">
        <f t="shared" ca="1" si="206"/>
        <v>1.1423802672580505</v>
      </c>
      <c r="W454" s="304">
        <f t="shared" ca="1" si="207"/>
        <v>782.31431720445414</v>
      </c>
      <c r="Y454" s="314" t="str">
        <f t="shared" ca="1" si="225"/>
        <v/>
      </c>
      <c r="Z454" s="315" t="str">
        <f t="shared" ca="1" si="226"/>
        <v/>
      </c>
      <c r="AA454" s="316" t="str">
        <f t="shared" ca="1" si="227"/>
        <v/>
      </c>
      <c r="AC454" s="310" t="e">
        <f t="shared" ca="1" si="228"/>
        <v>#N/A</v>
      </c>
      <c r="AD454" s="323" t="e">
        <f t="shared" ca="1" si="229"/>
        <v>#N/A</v>
      </c>
      <c r="AE454" s="324">
        <f t="shared" ca="1" si="208"/>
        <v>697.98446734238644</v>
      </c>
      <c r="AG454" s="306">
        <f t="shared" ca="1" si="230"/>
        <v>73.081105504514795</v>
      </c>
      <c r="AH454" s="304">
        <f t="shared" ca="1" si="231"/>
        <v>82.228486258935291</v>
      </c>
    </row>
    <row r="455" spans="1:34" x14ac:dyDescent="0.2">
      <c r="A455" s="347">
        <f t="shared" ca="1" si="209"/>
        <v>0.01</v>
      </c>
      <c r="B455" s="304">
        <f t="shared" ca="1" si="210"/>
        <v>4.5099999999999483</v>
      </c>
      <c r="D455" s="306">
        <f t="shared" ca="1" si="211"/>
        <v>29.663124871579118</v>
      </c>
      <c r="E455" s="307">
        <f t="shared" ca="1" si="212"/>
        <v>66.724839423673217</v>
      </c>
      <c r="F455" s="304">
        <f t="shared" ca="1" si="213"/>
        <v>73.021265212689045</v>
      </c>
      <c r="G455" s="306">
        <f t="shared" ca="1" si="214"/>
        <v>124.1591863827194</v>
      </c>
      <c r="H455" s="307">
        <f t="shared" ca="1" si="215"/>
        <v>320.24924822830138</v>
      </c>
      <c r="I455" s="304">
        <f t="shared" ca="1" si="216"/>
        <v>343.4750129980506</v>
      </c>
      <c r="J455" s="306">
        <f t="shared" ca="1" si="217"/>
        <v>254.68382025464109</v>
      </c>
      <c r="K455" s="307">
        <f t="shared" ca="1" si="218"/>
        <v>701.18362358269826</v>
      </c>
      <c r="L455" s="304">
        <f t="shared" ca="1" si="203"/>
        <v>746.00423744108946</v>
      </c>
      <c r="M455" s="306">
        <f t="shared" ca="1" si="219"/>
        <v>1.2009420886698761</v>
      </c>
      <c r="N455" s="304">
        <f t="shared" ca="1" si="220"/>
        <v>68.808913120409784</v>
      </c>
      <c r="P455" s="310">
        <f t="shared" ca="1" si="221"/>
        <v>14</v>
      </c>
      <c r="Q455" s="304">
        <f t="shared" ca="1" si="222"/>
        <v>2269.5061177802977</v>
      </c>
      <c r="R455" s="306">
        <f t="shared" ca="1" si="223"/>
        <v>1.3648222824127689</v>
      </c>
      <c r="S455" s="307">
        <f t="shared" ca="1" si="224"/>
        <v>18.118329493313894</v>
      </c>
      <c r="T455" s="304">
        <f t="shared" ca="1" si="204"/>
        <v>177.74081232940929</v>
      </c>
      <c r="U455" s="311">
        <f t="shared" ca="1" si="205"/>
        <v>0</v>
      </c>
      <c r="V455" s="306">
        <f t="shared" ca="1" si="206"/>
        <v>1.1420144128463947</v>
      </c>
      <c r="W455" s="304">
        <f t="shared" ca="1" si="207"/>
        <v>785.3957381954134</v>
      </c>
      <c r="Y455" s="314" t="str">
        <f t="shared" ca="1" si="225"/>
        <v/>
      </c>
      <c r="Z455" s="315" t="str">
        <f t="shared" ca="1" si="226"/>
        <v/>
      </c>
      <c r="AA455" s="316" t="str">
        <f t="shared" ca="1" si="227"/>
        <v/>
      </c>
      <c r="AC455" s="310" t="e">
        <f t="shared" ca="1" si="228"/>
        <v>#N/A</v>
      </c>
      <c r="AD455" s="323" t="e">
        <f t="shared" ca="1" si="229"/>
        <v>#N/A</v>
      </c>
      <c r="AE455" s="324">
        <f t="shared" ca="1" si="208"/>
        <v>701.18362358269826</v>
      </c>
      <c r="AG455" s="306">
        <f t="shared" ca="1" si="230"/>
        <v>72.935155735713451</v>
      </c>
      <c r="AH455" s="304">
        <f t="shared" ca="1" si="231"/>
        <v>82.082169944235403</v>
      </c>
    </row>
    <row r="456" spans="1:34" x14ac:dyDescent="0.2">
      <c r="A456" s="347">
        <f t="shared" ca="1" si="209"/>
        <v>0.01</v>
      </c>
      <c r="B456" s="304">
        <f t="shared" ca="1" si="210"/>
        <v>4.5199999999999481</v>
      </c>
      <c r="D456" s="306">
        <f t="shared" ca="1" si="211"/>
        <v>29.618090127931083</v>
      </c>
      <c r="E456" s="307">
        <f t="shared" ca="1" si="212"/>
        <v>66.58524205796634</v>
      </c>
      <c r="F456" s="304">
        <f t="shared" ca="1" si="213"/>
        <v>72.87541233327066</v>
      </c>
      <c r="G456" s="306">
        <f t="shared" ca="1" si="214"/>
        <v>124.45536728399871</v>
      </c>
      <c r="H456" s="307">
        <f t="shared" ca="1" si="215"/>
        <v>320.91510064888104</v>
      </c>
      <c r="I456" s="304">
        <f t="shared" ca="1" si="216"/>
        <v>344.20290566797439</v>
      </c>
      <c r="J456" s="306">
        <f t="shared" ca="1" si="217"/>
        <v>255.9268930229747</v>
      </c>
      <c r="K456" s="307">
        <f t="shared" ca="1" si="218"/>
        <v>704.38944532708422</v>
      </c>
      <c r="L456" s="304">
        <f t="shared" ca="1" si="203"/>
        <v>749.44183580888421</v>
      </c>
      <c r="M456" s="306">
        <f t="shared" ca="1" si="219"/>
        <v>1.2008390647226479</v>
      </c>
      <c r="N456" s="304">
        <f t="shared" ca="1" si="220"/>
        <v>68.803010283044827</v>
      </c>
      <c r="P456" s="310">
        <f t="shared" ca="1" si="221"/>
        <v>14</v>
      </c>
      <c r="Q456" s="304">
        <f t="shared" ca="1" si="222"/>
        <v>2268.8164009060056</v>
      </c>
      <c r="R456" s="306">
        <f t="shared" ca="1" si="223"/>
        <v>1.3644075045228945</v>
      </c>
      <c r="S456" s="307">
        <f t="shared" ca="1" si="224"/>
        <v>18.104685418268666</v>
      </c>
      <c r="T456" s="304">
        <f t="shared" ca="1" si="204"/>
        <v>177.60696395321563</v>
      </c>
      <c r="U456" s="311">
        <f t="shared" ca="1" si="205"/>
        <v>0</v>
      </c>
      <c r="V456" s="306">
        <f t="shared" ca="1" si="206"/>
        <v>1.1416479095841752</v>
      </c>
      <c r="W456" s="304">
        <f t="shared" ca="1" si="207"/>
        <v>788.47496450575215</v>
      </c>
      <c r="Y456" s="314" t="str">
        <f t="shared" ca="1" si="225"/>
        <v/>
      </c>
      <c r="Z456" s="315" t="str">
        <f t="shared" ca="1" si="226"/>
        <v/>
      </c>
      <c r="AA456" s="316" t="str">
        <f t="shared" ca="1" si="227"/>
        <v/>
      </c>
      <c r="AC456" s="310" t="e">
        <f t="shared" ca="1" si="228"/>
        <v>#N/A</v>
      </c>
      <c r="AD456" s="323" t="e">
        <f t="shared" ca="1" si="229"/>
        <v>#N/A</v>
      </c>
      <c r="AE456" s="324">
        <f t="shared" ca="1" si="208"/>
        <v>704.38944532708422</v>
      </c>
      <c r="AG456" s="306">
        <f t="shared" ca="1" si="230"/>
        <v>72.789084325033755</v>
      </c>
      <c r="AH456" s="304">
        <f t="shared" ca="1" si="231"/>
        <v>81.935732570847975</v>
      </c>
    </row>
    <row r="457" spans="1:34" x14ac:dyDescent="0.2">
      <c r="A457" s="347">
        <f t="shared" ca="1" si="209"/>
        <v>0.01</v>
      </c>
      <c r="B457" s="304">
        <f t="shared" ca="1" si="210"/>
        <v>4.5299999999999478</v>
      </c>
      <c r="D457" s="306">
        <f t="shared" ca="1" si="211"/>
        <v>29.572969548702453</v>
      </c>
      <c r="E457" s="307">
        <f t="shared" ca="1" si="212"/>
        <v>66.445550132696667</v>
      </c>
      <c r="F457" s="304">
        <f t="shared" ca="1" si="213"/>
        <v>72.729441496310073</v>
      </c>
      <c r="G457" s="306">
        <f t="shared" ca="1" si="214"/>
        <v>124.75109697948574</v>
      </c>
      <c r="H457" s="307">
        <f t="shared" ca="1" si="215"/>
        <v>321.57955615020802</v>
      </c>
      <c r="I457" s="304">
        <f t="shared" ca="1" si="216"/>
        <v>344.92933643189855</v>
      </c>
      <c r="J457" s="306">
        <f t="shared" ca="1" si="217"/>
        <v>257.17292534429214</v>
      </c>
      <c r="K457" s="307">
        <f t="shared" ca="1" si="218"/>
        <v>707.60191861107967</v>
      </c>
      <c r="L457" s="304">
        <f t="shared" ca="1" si="203"/>
        <v>752.88670379561211</v>
      </c>
      <c r="M457" s="306">
        <f t="shared" ca="1" si="219"/>
        <v>1.2007362304279317</v>
      </c>
      <c r="N457" s="304">
        <f t="shared" ca="1" si="220"/>
        <v>68.797118311968376</v>
      </c>
      <c r="P457" s="310">
        <f t="shared" ca="1" si="221"/>
        <v>14</v>
      </c>
      <c r="Q457" s="304">
        <f t="shared" ca="1" si="222"/>
        <v>2268.1266840317135</v>
      </c>
      <c r="R457" s="306">
        <f t="shared" ca="1" si="223"/>
        <v>1.3639927266330203</v>
      </c>
      <c r="S457" s="307">
        <f t="shared" ca="1" si="224"/>
        <v>18.091045491002337</v>
      </c>
      <c r="T457" s="304">
        <f t="shared" ca="1" si="204"/>
        <v>177.47315626673293</v>
      </c>
      <c r="U457" s="311">
        <f t="shared" ca="1" si="205"/>
        <v>0</v>
      </c>
      <c r="V457" s="306">
        <f t="shared" ca="1" si="206"/>
        <v>1.1412807597223977</v>
      </c>
      <c r="W457" s="304">
        <f t="shared" ca="1" si="207"/>
        <v>791.55194374291591</v>
      </c>
      <c r="Y457" s="314" t="str">
        <f t="shared" ca="1" si="225"/>
        <v/>
      </c>
      <c r="Z457" s="315" t="str">
        <f t="shared" ca="1" si="226"/>
        <v/>
      </c>
      <c r="AA457" s="316" t="str">
        <f t="shared" ca="1" si="227"/>
        <v/>
      </c>
      <c r="AC457" s="310" t="e">
        <f t="shared" ca="1" si="228"/>
        <v>#N/A</v>
      </c>
      <c r="AD457" s="323" t="e">
        <f t="shared" ca="1" si="229"/>
        <v>#N/A</v>
      </c>
      <c r="AE457" s="324">
        <f t="shared" ca="1" si="208"/>
        <v>707.60191861107967</v>
      </c>
      <c r="AG457" s="306">
        <f t="shared" ca="1" si="230"/>
        <v>72.642894012888434</v>
      </c>
      <c r="AH457" s="304">
        <f t="shared" ca="1" si="231"/>
        <v>81.789176875480891</v>
      </c>
    </row>
    <row r="458" spans="1:34" x14ac:dyDescent="0.2">
      <c r="A458" s="347">
        <f t="shared" ca="1" si="209"/>
        <v>0.01</v>
      </c>
      <c r="B458" s="304">
        <f t="shared" ca="1" si="210"/>
        <v>4.5399999999999476</v>
      </c>
      <c r="D458" s="306">
        <f t="shared" ca="1" si="211"/>
        <v>29.527764259750732</v>
      </c>
      <c r="E458" s="307">
        <f t="shared" ca="1" si="212"/>
        <v>66.305766150898634</v>
      </c>
      <c r="F458" s="304">
        <f t="shared" ca="1" si="213"/>
        <v>72.58335544074184</v>
      </c>
      <c r="G458" s="306">
        <f t="shared" ca="1" si="214"/>
        <v>125.04637462208325</v>
      </c>
      <c r="H458" s="307">
        <f t="shared" ca="1" si="215"/>
        <v>322.24261381171698</v>
      </c>
      <c r="I458" s="304">
        <f t="shared" ca="1" si="216"/>
        <v>345.65430412817625</v>
      </c>
      <c r="J458" s="306">
        <f t="shared" ca="1" si="217"/>
        <v>258.42191270230001</v>
      </c>
      <c r="K458" s="307">
        <f t="shared" ca="1" si="218"/>
        <v>710.82102946088935</v>
      </c>
      <c r="L458" s="304">
        <f t="shared" ca="1" si="203"/>
        <v>756.33882677577355</v>
      </c>
      <c r="M458" s="306">
        <f t="shared" ca="1" si="219"/>
        <v>1.2006335846053775</v>
      </c>
      <c r="N458" s="304">
        <f t="shared" ca="1" si="220"/>
        <v>68.791237139551384</v>
      </c>
      <c r="P458" s="310">
        <f t="shared" ca="1" si="221"/>
        <v>14</v>
      </c>
      <c r="Q458" s="304">
        <f t="shared" ca="1" si="222"/>
        <v>2267.4369671574213</v>
      </c>
      <c r="R458" s="306">
        <f t="shared" ca="1" si="223"/>
        <v>1.3635779487431459</v>
      </c>
      <c r="S458" s="307">
        <f t="shared" ca="1" si="224"/>
        <v>18.077409711514907</v>
      </c>
      <c r="T458" s="304">
        <f t="shared" ca="1" si="204"/>
        <v>177.33938926996123</v>
      </c>
      <c r="U458" s="311">
        <f t="shared" ca="1" si="205"/>
        <v>0</v>
      </c>
      <c r="V458" s="306">
        <f t="shared" ca="1" si="206"/>
        <v>1.1409129655119949</v>
      </c>
      <c r="W458" s="304">
        <f t="shared" ca="1" si="207"/>
        <v>794.62662376603089</v>
      </c>
      <c r="Y458" s="314" t="str">
        <f t="shared" ca="1" si="225"/>
        <v/>
      </c>
      <c r="Z458" s="315" t="str">
        <f t="shared" ca="1" si="226"/>
        <v/>
      </c>
      <c r="AA458" s="316" t="str">
        <f t="shared" ca="1" si="227"/>
        <v/>
      </c>
      <c r="AC458" s="310" t="e">
        <f t="shared" ca="1" si="228"/>
        <v>#N/A</v>
      </c>
      <c r="AD458" s="323" t="e">
        <f t="shared" ca="1" si="229"/>
        <v>#N/A</v>
      </c>
      <c r="AE458" s="324">
        <f t="shared" ca="1" si="208"/>
        <v>710.82102946088935</v>
      </c>
      <c r="AG458" s="306">
        <f t="shared" ca="1" si="230"/>
        <v>72.496587534235886</v>
      </c>
      <c r="AH458" s="304">
        <f t="shared" ca="1" si="231"/>
        <v>81.642505589415251</v>
      </c>
    </row>
    <row r="459" spans="1:34" x14ac:dyDescent="0.2">
      <c r="A459" s="347">
        <f t="shared" ca="1" si="209"/>
        <v>0.01</v>
      </c>
      <c r="B459" s="304">
        <f t="shared" ca="1" si="210"/>
        <v>4.5499999999999474</v>
      </c>
      <c r="D459" s="306">
        <f t="shared" ca="1" si="211"/>
        <v>29.482475384727159</v>
      </c>
      <c r="E459" s="307">
        <f t="shared" ca="1" si="212"/>
        <v>66.165892610454705</v>
      </c>
      <c r="F459" s="304">
        <f t="shared" ca="1" si="213"/>
        <v>72.437156899958936</v>
      </c>
      <c r="G459" s="306">
        <f t="shared" ca="1" si="214"/>
        <v>125.34119937593051</v>
      </c>
      <c r="H459" s="307">
        <f t="shared" ca="1" si="215"/>
        <v>322.90427273782154</v>
      </c>
      <c r="I459" s="304">
        <f t="shared" ca="1" si="216"/>
        <v>346.37780762245467</v>
      </c>
      <c r="J459" s="306">
        <f t="shared" ca="1" si="217"/>
        <v>259.67385057229006</v>
      </c>
      <c r="K459" s="307">
        <f t="shared" ca="1" si="218"/>
        <v>714.04676389363703</v>
      </c>
      <c r="L459" s="304">
        <f t="shared" ca="1" si="203"/>
        <v>759.79819011235838</v>
      </c>
      <c r="M459" s="306">
        <f t="shared" ca="1" si="219"/>
        <v>1.2005311260837828</v>
      </c>
      <c r="N459" s="304">
        <f t="shared" ca="1" si="220"/>
        <v>68.785366698688847</v>
      </c>
      <c r="P459" s="310">
        <f t="shared" ca="1" si="221"/>
        <v>14</v>
      </c>
      <c r="Q459" s="304">
        <f t="shared" ca="1" si="222"/>
        <v>2266.7472502831292</v>
      </c>
      <c r="R459" s="306">
        <f t="shared" ca="1" si="223"/>
        <v>1.3631631708532714</v>
      </c>
      <c r="S459" s="307">
        <f t="shared" ca="1" si="224"/>
        <v>18.063778079806376</v>
      </c>
      <c r="T459" s="304">
        <f t="shared" ca="1" si="204"/>
        <v>177.20566296290056</v>
      </c>
      <c r="U459" s="311">
        <f t="shared" ca="1" si="205"/>
        <v>0</v>
      </c>
      <c r="V459" s="306">
        <f t="shared" ca="1" si="206"/>
        <v>1.1405445292037868</v>
      </c>
      <c r="W459" s="304">
        <f t="shared" ca="1" si="207"/>
        <v>797.69895268717596</v>
      </c>
      <c r="Y459" s="314" t="str">
        <f t="shared" ca="1" si="225"/>
        <v/>
      </c>
      <c r="Z459" s="315" t="str">
        <f t="shared" ca="1" si="226"/>
        <v/>
      </c>
      <c r="AA459" s="316" t="str">
        <f t="shared" ca="1" si="227"/>
        <v/>
      </c>
      <c r="AC459" s="310" t="e">
        <f t="shared" ca="1" si="228"/>
        <v>#N/A</v>
      </c>
      <c r="AD459" s="323" t="e">
        <f t="shared" ca="1" si="229"/>
        <v>#N/A</v>
      </c>
      <c r="AE459" s="324">
        <f t="shared" ca="1" si="208"/>
        <v>714.04676389363703</v>
      </c>
      <c r="AG459" s="306">
        <f t="shared" ca="1" si="230"/>
        <v>72.350167618481791</v>
      </c>
      <c r="AH459" s="304">
        <f t="shared" ca="1" si="231"/>
        <v>81.495721438406747</v>
      </c>
    </row>
    <row r="460" spans="1:34" x14ac:dyDescent="0.2">
      <c r="A460" s="347">
        <f t="shared" ca="1" si="209"/>
        <v>0.01</v>
      </c>
      <c r="B460" s="304">
        <f t="shared" ca="1" si="210"/>
        <v>4.5599999999999472</v>
      </c>
      <c r="D460" s="306">
        <f t="shared" ca="1" si="211"/>
        <v>29.437104045046343</v>
      </c>
      <c r="E460" s="307">
        <f t="shared" ca="1" si="212"/>
        <v>66.025932004003224</v>
      </c>
      <c r="F460" s="304">
        <f t="shared" ca="1" si="213"/>
        <v>72.290848601715425</v>
      </c>
      <c r="G460" s="306">
        <f t="shared" ca="1" si="214"/>
        <v>125.63557041638097</v>
      </c>
      <c r="H460" s="307">
        <f t="shared" ca="1" si="215"/>
        <v>323.56453205786158</v>
      </c>
      <c r="I460" s="304">
        <f t="shared" ca="1" si="216"/>
        <v>347.09984580761824</v>
      </c>
      <c r="J460" s="306">
        <f t="shared" ca="1" si="217"/>
        <v>260.92873442125165</v>
      </c>
      <c r="K460" s="307">
        <f t="shared" ca="1" si="218"/>
        <v>717.27910791761542</v>
      </c>
      <c r="L460" s="304">
        <f t="shared" ca="1" si="203"/>
        <v>763.26477915711939</v>
      </c>
      <c r="M460" s="306">
        <f t="shared" ca="1" si="219"/>
        <v>1.2004288537009977</v>
      </c>
      <c r="N460" s="304">
        <f t="shared" ca="1" si="220"/>
        <v>68.779506922794525</v>
      </c>
      <c r="P460" s="310">
        <f t="shared" ca="1" si="221"/>
        <v>14</v>
      </c>
      <c r="Q460" s="304">
        <f t="shared" ca="1" si="222"/>
        <v>2266.0575334088371</v>
      </c>
      <c r="R460" s="306">
        <f t="shared" ca="1" si="223"/>
        <v>1.362748392963397</v>
      </c>
      <c r="S460" s="307">
        <f t="shared" ca="1" si="224"/>
        <v>18.05015059587674</v>
      </c>
      <c r="T460" s="304">
        <f t="shared" ca="1" si="204"/>
        <v>177.07197734555083</v>
      </c>
      <c r="U460" s="311">
        <f t="shared" ca="1" si="205"/>
        <v>0</v>
      </c>
      <c r="V460" s="306">
        <f t="shared" ca="1" si="206"/>
        <v>1.1401754530484385</v>
      </c>
      <c r="W460" s="304">
        <f t="shared" ca="1" si="207"/>
        <v>800.76887887263183</v>
      </c>
      <c r="Y460" s="314" t="str">
        <f t="shared" ca="1" si="225"/>
        <v/>
      </c>
      <c r="Z460" s="315" t="str">
        <f t="shared" ca="1" si="226"/>
        <v/>
      </c>
      <c r="AA460" s="316" t="str">
        <f t="shared" ca="1" si="227"/>
        <v/>
      </c>
      <c r="AC460" s="310" t="e">
        <f t="shared" ca="1" si="228"/>
        <v>#N/A</v>
      </c>
      <c r="AD460" s="323" t="e">
        <f t="shared" ca="1" si="229"/>
        <v>#N/A</v>
      </c>
      <c r="AE460" s="324">
        <f t="shared" ca="1" si="208"/>
        <v>717.27910791761542</v>
      </c>
      <c r="AG460" s="306">
        <f t="shared" ca="1" si="230"/>
        <v>72.20363698938192</v>
      </c>
      <c r="AH460" s="304">
        <f t="shared" ca="1" si="231"/>
        <v>81.348827142588135</v>
      </c>
    </row>
    <row r="461" spans="1:34" x14ac:dyDescent="0.2">
      <c r="A461" s="347">
        <f t="shared" ca="1" si="209"/>
        <v>0.01</v>
      </c>
      <c r="B461" s="304">
        <f t="shared" ca="1" si="210"/>
        <v>4.569999999999947</v>
      </c>
      <c r="D461" s="306">
        <f t="shared" ca="1" si="211"/>
        <v>29.391651359856127</v>
      </c>
      <c r="E461" s="307">
        <f t="shared" ca="1" si="212"/>
        <v>65.885886818846998</v>
      </c>
      <c r="F461" s="304">
        <f t="shared" ca="1" si="213"/>
        <v>72.144433268030099</v>
      </c>
      <c r="G461" s="306">
        <f t="shared" ca="1" si="214"/>
        <v>125.92948692997953</v>
      </c>
      <c r="H461" s="307">
        <f t="shared" ca="1" si="215"/>
        <v>324.22339092605006</v>
      </c>
      <c r="I461" s="304">
        <f t="shared" ca="1" si="216"/>
        <v>347.82041760373147</v>
      </c>
      <c r="J461" s="306">
        <f t="shared" ca="1" si="217"/>
        <v>262.18655970798346</v>
      </c>
      <c r="K461" s="307">
        <f t="shared" ca="1" si="218"/>
        <v>720.51804753253498</v>
      </c>
      <c r="L461" s="304">
        <f t="shared" ca="1" si="203"/>
        <v>766.73857925084496</v>
      </c>
      <c r="M461" s="306">
        <f t="shared" ca="1" si="219"/>
        <v>1.2003267663038357</v>
      </c>
      <c r="N461" s="304">
        <f t="shared" ca="1" si="220"/>
        <v>68.77365774579566</v>
      </c>
      <c r="P461" s="310">
        <f t="shared" ca="1" si="221"/>
        <v>14</v>
      </c>
      <c r="Q461" s="304">
        <f t="shared" ca="1" si="222"/>
        <v>2265.367816534545</v>
      </c>
      <c r="R461" s="306">
        <f t="shared" ca="1" si="223"/>
        <v>1.3623336150735226</v>
      </c>
      <c r="S461" s="307">
        <f t="shared" ca="1" si="224"/>
        <v>18.036527259726004</v>
      </c>
      <c r="T461" s="304">
        <f t="shared" ca="1" si="204"/>
        <v>176.93833241791211</v>
      </c>
      <c r="U461" s="311">
        <f t="shared" ca="1" si="205"/>
        <v>0</v>
      </c>
      <c r="V461" s="306">
        <f t="shared" ca="1" si="206"/>
        <v>1.1398057392964205</v>
      </c>
      <c r="W461" s="304">
        <f t="shared" ca="1" si="207"/>
        <v>803.83635094411011</v>
      </c>
      <c r="Y461" s="314" t="str">
        <f t="shared" ca="1" si="225"/>
        <v/>
      </c>
      <c r="Z461" s="315" t="str">
        <f t="shared" ca="1" si="226"/>
        <v/>
      </c>
      <c r="AA461" s="316" t="str">
        <f t="shared" ca="1" si="227"/>
        <v/>
      </c>
      <c r="AC461" s="310" t="e">
        <f t="shared" ca="1" si="228"/>
        <v>#N/A</v>
      </c>
      <c r="AD461" s="323" t="e">
        <f t="shared" ca="1" si="229"/>
        <v>#N/A</v>
      </c>
      <c r="AE461" s="324">
        <f t="shared" ca="1" si="208"/>
        <v>720.51804753253498</v>
      </c>
      <c r="AG461" s="306">
        <f t="shared" ca="1" si="230"/>
        <v>72.0569983649455</v>
      </c>
      <c r="AH461" s="304">
        <f t="shared" ca="1" si="231"/>
        <v>81.201825416372429</v>
      </c>
    </row>
    <row r="462" spans="1:34" x14ac:dyDescent="0.2">
      <c r="A462" s="347">
        <f t="shared" ca="1" si="209"/>
        <v>0.01</v>
      </c>
      <c r="B462" s="304">
        <f t="shared" ca="1" si="210"/>
        <v>4.5799999999999468</v>
      </c>
      <c r="D462" s="306">
        <f t="shared" ca="1" si="211"/>
        <v>29.346118446007381</v>
      </c>
      <c r="E462" s="307">
        <f t="shared" ca="1" si="212"/>
        <v>65.745759536862664</v>
      </c>
      <c r="F462" s="304">
        <f t="shared" ca="1" si="213"/>
        <v>71.997913615090695</v>
      </c>
      <c r="G462" s="306">
        <f t="shared" ca="1" si="214"/>
        <v>126.2229481144396</v>
      </c>
      <c r="H462" s="307">
        <f t="shared" ca="1" si="215"/>
        <v>324.88084852141867</v>
      </c>
      <c r="I462" s="304">
        <f t="shared" ca="1" si="216"/>
        <v>348.53952195798041</v>
      </c>
      <c r="J462" s="306">
        <f t="shared" ca="1" si="217"/>
        <v>263.44732188320557</v>
      </c>
      <c r="K462" s="307">
        <f t="shared" ca="1" si="218"/>
        <v>723.76356872977237</v>
      </c>
      <c r="L462" s="304">
        <f t="shared" ca="1" si="203"/>
        <v>770.21957572363044</v>
      </c>
      <c r="M462" s="306">
        <f t="shared" ca="1" si="219"/>
        <v>1.2002248627479801</v>
      </c>
      <c r="N462" s="304">
        <f t="shared" ca="1" si="220"/>
        <v>68.76781910212776</v>
      </c>
      <c r="P462" s="310">
        <f t="shared" ca="1" si="221"/>
        <v>14</v>
      </c>
      <c r="Q462" s="304">
        <f t="shared" ca="1" si="222"/>
        <v>2264.6780996602524</v>
      </c>
      <c r="R462" s="306">
        <f t="shared" ca="1" si="223"/>
        <v>1.3619188371836479</v>
      </c>
      <c r="S462" s="307">
        <f t="shared" ca="1" si="224"/>
        <v>18.022908071354166</v>
      </c>
      <c r="T462" s="304">
        <f t="shared" ca="1" si="204"/>
        <v>176.80472817998438</v>
      </c>
      <c r="U462" s="311">
        <f t="shared" ca="1" si="205"/>
        <v>0</v>
      </c>
      <c r="V462" s="306">
        <f t="shared" ca="1" si="206"/>
        <v>1.1394353901979672</v>
      </c>
      <c r="W462" s="304">
        <f t="shared" ca="1" si="207"/>
        <v>806.9013177799593</v>
      </c>
      <c r="Y462" s="314" t="str">
        <f t="shared" ca="1" si="225"/>
        <v/>
      </c>
      <c r="Z462" s="315" t="str">
        <f t="shared" ca="1" si="226"/>
        <v/>
      </c>
      <c r="AA462" s="316" t="str">
        <f t="shared" ca="1" si="227"/>
        <v/>
      </c>
      <c r="AC462" s="310" t="e">
        <f t="shared" ca="1" si="228"/>
        <v>#N/A</v>
      </c>
      <c r="AD462" s="323" t="e">
        <f t="shared" ca="1" si="229"/>
        <v>#N/A</v>
      </c>
      <c r="AE462" s="324">
        <f t="shared" ca="1" si="208"/>
        <v>723.76356872977237</v>
      </c>
      <c r="AG462" s="306">
        <f t="shared" ca="1" si="230"/>
        <v>71.910254457339519</v>
      </c>
      <c r="AH462" s="304">
        <f t="shared" ca="1" si="231"/>
        <v>81.054718968356852</v>
      </c>
    </row>
    <row r="463" spans="1:34" x14ac:dyDescent="0.2">
      <c r="A463" s="347">
        <f t="shared" ca="1" si="209"/>
        <v>0.01</v>
      </c>
      <c r="B463" s="304">
        <f t="shared" ca="1" si="210"/>
        <v>4.5899999999999466</v>
      </c>
      <c r="D463" s="306">
        <f t="shared" ca="1" si="211"/>
        <v>29.300506418024348</v>
      </c>
      <c r="E463" s="307">
        <f t="shared" ca="1" si="212"/>
        <v>65.605552634410799</v>
      </c>
      <c r="F463" s="304">
        <f t="shared" ca="1" si="213"/>
        <v>71.851292353159053</v>
      </c>
      <c r="G463" s="306">
        <f t="shared" ca="1" si="214"/>
        <v>126.51595317861985</v>
      </c>
      <c r="H463" s="307">
        <f t="shared" ca="1" si="215"/>
        <v>325.53690404776279</v>
      </c>
      <c r="I463" s="304">
        <f t="shared" ca="1" si="216"/>
        <v>349.25715784461318</v>
      </c>
      <c r="J463" s="306">
        <f t="shared" ca="1" si="217"/>
        <v>264.71101638967087</v>
      </c>
      <c r="K463" s="307">
        <f t="shared" ca="1" si="218"/>
        <v>727.01565749261829</v>
      </c>
      <c r="L463" s="304">
        <f t="shared" ca="1" si="203"/>
        <v>773.70775389514915</v>
      </c>
      <c r="M463" s="306">
        <f t="shared" ca="1" si="219"/>
        <v>1.200123141897897</v>
      </c>
      <c r="N463" s="304">
        <f t="shared" ca="1" si="220"/>
        <v>68.761990926729524</v>
      </c>
      <c r="P463" s="310">
        <f t="shared" ca="1" si="221"/>
        <v>14</v>
      </c>
      <c r="Q463" s="304">
        <f t="shared" ca="1" si="222"/>
        <v>2263.9883827859603</v>
      </c>
      <c r="R463" s="306">
        <f t="shared" ca="1" si="223"/>
        <v>1.3615040592937735</v>
      </c>
      <c r="S463" s="307">
        <f t="shared" ca="1" si="224"/>
        <v>18.009293030761228</v>
      </c>
      <c r="T463" s="304">
        <f t="shared" ca="1" si="204"/>
        <v>176.67116463176765</v>
      </c>
      <c r="U463" s="311">
        <f t="shared" ca="1" si="205"/>
        <v>0</v>
      </c>
      <c r="V463" s="306">
        <f t="shared" ca="1" si="206"/>
        <v>1.1390644080030388</v>
      </c>
      <c r="W463" s="304">
        <f t="shared" ca="1" si="207"/>
        <v>809.96372851634999</v>
      </c>
      <c r="Y463" s="314" t="str">
        <f t="shared" ca="1" si="225"/>
        <v/>
      </c>
      <c r="Z463" s="315" t="str">
        <f t="shared" ca="1" si="226"/>
        <v/>
      </c>
      <c r="AA463" s="316" t="str">
        <f t="shared" ca="1" si="227"/>
        <v/>
      </c>
      <c r="AC463" s="310" t="e">
        <f t="shared" ca="1" si="228"/>
        <v>#N/A</v>
      </c>
      <c r="AD463" s="323" t="e">
        <f t="shared" ca="1" si="229"/>
        <v>#N/A</v>
      </c>
      <c r="AE463" s="324">
        <f t="shared" ca="1" si="208"/>
        <v>727.01565749261829</v>
      </c>
      <c r="AG463" s="306">
        <f t="shared" ca="1" si="230"/>
        <v>71.763407972793786</v>
      </c>
      <c r="AH463" s="304">
        <f t="shared" ca="1" si="231"/>
        <v>80.907510501227705</v>
      </c>
    </row>
    <row r="464" spans="1:34" x14ac:dyDescent="0.2">
      <c r="A464" s="347">
        <f t="shared" ca="1" si="209"/>
        <v>0.01</v>
      </c>
      <c r="B464" s="304">
        <f t="shared" ca="1" si="210"/>
        <v>4.5999999999999464</v>
      </c>
      <c r="D464" s="306">
        <f t="shared" ca="1" si="211"/>
        <v>29.254816388074634</v>
      </c>
      <c r="E464" s="307">
        <f t="shared" ca="1" si="212"/>
        <v>65.465268582246793</v>
      </c>
      <c r="F464" s="304">
        <f t="shared" ca="1" si="213"/>
        <v>71.704572186476852</v>
      </c>
      <c r="G464" s="306">
        <f t="shared" ca="1" si="214"/>
        <v>126.80850134250061</v>
      </c>
      <c r="H464" s="307">
        <f t="shared" ca="1" si="215"/>
        <v>326.19155673358523</v>
      </c>
      <c r="I464" s="304">
        <f t="shared" ca="1" si="216"/>
        <v>349.97332426487986</v>
      </c>
      <c r="J464" s="306">
        <f t="shared" ca="1" si="217"/>
        <v>265.97763866227649</v>
      </c>
      <c r="K464" s="307">
        <f t="shared" ca="1" si="218"/>
        <v>730.27429979652504</v>
      </c>
      <c r="L464" s="304">
        <f t="shared" ca="1" si="203"/>
        <v>777.20309907492356</v>
      </c>
      <c r="M464" s="306">
        <f t="shared" ca="1" si="219"/>
        <v>1.2000216026267454</v>
      </c>
      <c r="N464" s="304">
        <f t="shared" ca="1" si="220"/>
        <v>68.7561731550377</v>
      </c>
      <c r="P464" s="310">
        <f t="shared" ca="1" si="221"/>
        <v>14</v>
      </c>
      <c r="Q464" s="304">
        <f t="shared" ca="1" si="222"/>
        <v>2263.2986659116682</v>
      </c>
      <c r="R464" s="306">
        <f t="shared" ca="1" si="223"/>
        <v>1.3610892814038991</v>
      </c>
      <c r="S464" s="307">
        <f t="shared" ca="1" si="224"/>
        <v>17.995682137947188</v>
      </c>
      <c r="T464" s="304">
        <f t="shared" ca="1" si="204"/>
        <v>176.53764177326192</v>
      </c>
      <c r="U464" s="311">
        <f t="shared" ca="1" si="205"/>
        <v>0</v>
      </c>
      <c r="V464" s="306">
        <f t="shared" ca="1" si="206"/>
        <v>1.1386927949612782</v>
      </c>
      <c r="W464" s="304">
        <f t="shared" ca="1" si="207"/>
        <v>813.02353254843763</v>
      </c>
      <c r="Y464" s="314" t="str">
        <f t="shared" ca="1" si="225"/>
        <v/>
      </c>
      <c r="Z464" s="315" t="str">
        <f t="shared" ca="1" si="226"/>
        <v/>
      </c>
      <c r="AA464" s="316" t="str">
        <f t="shared" ca="1" si="227"/>
        <v/>
      </c>
      <c r="AC464" s="310" t="e">
        <f t="shared" ca="1" si="228"/>
        <v>#N/A</v>
      </c>
      <c r="AD464" s="323" t="e">
        <f t="shared" ca="1" si="229"/>
        <v>#N/A</v>
      </c>
      <c r="AE464" s="324">
        <f t="shared" ca="1" si="208"/>
        <v>730.27429979652504</v>
      </c>
      <c r="AG464" s="306">
        <f t="shared" ca="1" si="230"/>
        <v>71.616461611506665</v>
      </c>
      <c r="AH464" s="304">
        <f t="shared" ca="1" si="231"/>
        <v>80.760202711665798</v>
      </c>
    </row>
    <row r="465" spans="1:34" x14ac:dyDescent="0.2">
      <c r="A465" s="347">
        <f t="shared" ca="1" si="209"/>
        <v>0.01</v>
      </c>
      <c r="B465" s="304">
        <f t="shared" ca="1" si="210"/>
        <v>4.6099999999999461</v>
      </c>
      <c r="D465" s="306">
        <f t="shared" ca="1" si="211"/>
        <v>29.209049465939785</v>
      </c>
      <c r="E465" s="307">
        <f t="shared" ca="1" si="212"/>
        <v>65.324909845432543</v>
      </c>
      <c r="F465" s="304">
        <f t="shared" ca="1" si="213"/>
        <v>71.557755813172392</v>
      </c>
      <c r="G465" s="306">
        <f t="shared" ca="1" si="214"/>
        <v>127.10059183716001</v>
      </c>
      <c r="H465" s="307">
        <f t="shared" ca="1" si="215"/>
        <v>326.84480583203958</v>
      </c>
      <c r="I465" s="304">
        <f t="shared" ca="1" si="216"/>
        <v>350.68802024697106</v>
      </c>
      <c r="J465" s="306">
        <f t="shared" ca="1" si="217"/>
        <v>267.24718412817481</v>
      </c>
      <c r="K465" s="307">
        <f t="shared" ca="1" si="218"/>
        <v>733.53948160935317</v>
      </c>
      <c r="L465" s="304">
        <f t="shared" ca="1" si="203"/>
        <v>780.70559656259491</v>
      </c>
      <c r="M465" s="306">
        <f t="shared" ca="1" si="219"/>
        <v>1.1999202438162906</v>
      </c>
      <c r="N465" s="304">
        <f t="shared" ca="1" si="220"/>
        <v>68.750365722982167</v>
      </c>
      <c r="P465" s="310">
        <f t="shared" ca="1" si="221"/>
        <v>14</v>
      </c>
      <c r="Q465" s="304">
        <f t="shared" ca="1" si="222"/>
        <v>2262.6089490373761</v>
      </c>
      <c r="R465" s="306">
        <f t="shared" ca="1" si="223"/>
        <v>1.3606745035140246</v>
      </c>
      <c r="S465" s="307">
        <f t="shared" ca="1" si="224"/>
        <v>17.982075392912048</v>
      </c>
      <c r="T465" s="304">
        <f t="shared" ca="1" si="204"/>
        <v>176.4041596044672</v>
      </c>
      <c r="U465" s="311">
        <f t="shared" ca="1" si="205"/>
        <v>0</v>
      </c>
      <c r="V465" s="306">
        <f t="shared" ca="1" si="206"/>
        <v>1.1383205533219736</v>
      </c>
      <c r="W465" s="304">
        <f t="shared" ca="1" si="207"/>
        <v>816.08067953150282</v>
      </c>
      <c r="Y465" s="314" t="str">
        <f t="shared" ca="1" si="225"/>
        <v/>
      </c>
      <c r="Z465" s="315" t="str">
        <f t="shared" ca="1" si="226"/>
        <v/>
      </c>
      <c r="AA465" s="316" t="str">
        <f t="shared" ca="1" si="227"/>
        <v/>
      </c>
      <c r="AC465" s="310" t="e">
        <f t="shared" ca="1" si="228"/>
        <v>#N/A</v>
      </c>
      <c r="AD465" s="323" t="e">
        <f t="shared" ca="1" si="229"/>
        <v>#N/A</v>
      </c>
      <c r="AE465" s="324">
        <f t="shared" ca="1" si="208"/>
        <v>733.53948160935317</v>
      </c>
      <c r="AG465" s="306">
        <f t="shared" ca="1" si="230"/>
        <v>71.469418067551729</v>
      </c>
      <c r="AH465" s="304">
        <f t="shared" ca="1" si="231"/>
        <v>80.612798290252854</v>
      </c>
    </row>
    <row r="466" spans="1:34" x14ac:dyDescent="0.2">
      <c r="A466" s="347">
        <f t="shared" ca="1" si="209"/>
        <v>0.01</v>
      </c>
      <c r="B466" s="304">
        <f t="shared" ca="1" si="210"/>
        <v>4.6199999999999459</v>
      </c>
      <c r="D466" s="306">
        <f t="shared" ca="1" si="211"/>
        <v>29.163206758985851</v>
      </c>
      <c r="E466" s="307">
        <f t="shared" ca="1" si="212"/>
        <v>65.184478883249085</v>
      </c>
      <c r="F466" s="304">
        <f t="shared" ca="1" si="213"/>
        <v>71.410845925168147</v>
      </c>
      <c r="G466" s="306">
        <f t="shared" ca="1" si="214"/>
        <v>127.39222390474987</v>
      </c>
      <c r="H466" s="307">
        <f t="shared" ca="1" si="215"/>
        <v>327.49665062087206</v>
      </c>
      <c r="I466" s="304">
        <f t="shared" ca="1" si="216"/>
        <v>351.40124484595594</v>
      </c>
      <c r="J466" s="306">
        <f t="shared" ca="1" si="217"/>
        <v>268.51964820688437</v>
      </c>
      <c r="K466" s="307">
        <f t="shared" ca="1" si="218"/>
        <v>736.81118889161769</v>
      </c>
      <c r="L466" s="304">
        <f t="shared" ca="1" si="203"/>
        <v>784.21523164819246</v>
      </c>
      <c r="M466" s="306">
        <f t="shared" ca="1" si="219"/>
        <v>1.1998190643568176</v>
      </c>
      <c r="N466" s="304">
        <f t="shared" ca="1" si="220"/>
        <v>68.744568566980959</v>
      </c>
      <c r="P466" s="310">
        <f t="shared" ca="1" si="221"/>
        <v>14</v>
      </c>
      <c r="Q466" s="304">
        <f t="shared" ca="1" si="222"/>
        <v>2261.919232163084</v>
      </c>
      <c r="R466" s="306">
        <f t="shared" ca="1" si="223"/>
        <v>1.3602597256241502</v>
      </c>
      <c r="S466" s="307">
        <f t="shared" ca="1" si="224"/>
        <v>17.968472795655806</v>
      </c>
      <c r="T466" s="304">
        <f t="shared" ca="1" si="204"/>
        <v>176.27071812538347</v>
      </c>
      <c r="U466" s="311">
        <f t="shared" ca="1" si="205"/>
        <v>0</v>
      </c>
      <c r="V466" s="306">
        <f t="shared" ca="1" si="206"/>
        <v>1.1379476853340176</v>
      </c>
      <c r="W466" s="304">
        <f t="shared" ca="1" si="207"/>
        <v>819.1351193820725</v>
      </c>
      <c r="Y466" s="314" t="str">
        <f t="shared" ca="1" si="225"/>
        <v/>
      </c>
      <c r="Z466" s="315" t="str">
        <f t="shared" ca="1" si="226"/>
        <v/>
      </c>
      <c r="AA466" s="316" t="str">
        <f t="shared" ca="1" si="227"/>
        <v/>
      </c>
      <c r="AC466" s="310" t="e">
        <f t="shared" ca="1" si="228"/>
        <v>#N/A</v>
      </c>
      <c r="AD466" s="323" t="e">
        <f t="shared" ca="1" si="229"/>
        <v>#N/A</v>
      </c>
      <c r="AE466" s="324">
        <f t="shared" ca="1" si="208"/>
        <v>736.81118889161769</v>
      </c>
      <c r="AG466" s="306">
        <f t="shared" ca="1" si="230"/>
        <v>71.322280028785286</v>
      </c>
      <c r="AH466" s="304">
        <f t="shared" ca="1" si="231"/>
        <v>80.465299921378843</v>
      </c>
    </row>
    <row r="467" spans="1:34" x14ac:dyDescent="0.2">
      <c r="A467" s="347">
        <f t="shared" ca="1" si="209"/>
        <v>0.01</v>
      </c>
      <c r="B467" s="304">
        <f t="shared" ca="1" si="210"/>
        <v>4.6299999999999457</v>
      </c>
      <c r="D467" s="306">
        <f t="shared" ca="1" si="211"/>
        <v>29.117289372134085</v>
      </c>
      <c r="E467" s="307">
        <f t="shared" ca="1" si="212"/>
        <v>65.043978149109634</v>
      </c>
      <c r="F467" s="304">
        <f t="shared" ca="1" si="213"/>
        <v>71.263845208088824</v>
      </c>
      <c r="G467" s="306">
        <f t="shared" ca="1" si="214"/>
        <v>127.68339679847121</v>
      </c>
      <c r="H467" s="307">
        <f t="shared" ca="1" si="215"/>
        <v>328.14709040236318</v>
      </c>
      <c r="I467" s="304">
        <f t="shared" ca="1" si="216"/>
        <v>352.11299714371887</v>
      </c>
      <c r="J467" s="306">
        <f t="shared" ca="1" si="217"/>
        <v>269.79502631040049</v>
      </c>
      <c r="K467" s="307">
        <f t="shared" ca="1" si="218"/>
        <v>740.08940759673385</v>
      </c>
      <c r="L467" s="304">
        <f t="shared" ca="1" si="203"/>
        <v>787.73198961240246</v>
      </c>
      <c r="M467" s="306">
        <f t="shared" ca="1" si="219"/>
        <v>1.1997180631470468</v>
      </c>
      <c r="N467" s="304">
        <f t="shared" ca="1" si="220"/>
        <v>68.738781623935367</v>
      </c>
      <c r="P467" s="310">
        <f t="shared" ca="1" si="221"/>
        <v>14</v>
      </c>
      <c r="Q467" s="304">
        <f t="shared" ca="1" si="222"/>
        <v>2261.2295152887918</v>
      </c>
      <c r="R467" s="306">
        <f t="shared" ca="1" si="223"/>
        <v>1.3598449477342758</v>
      </c>
      <c r="S467" s="307">
        <f t="shared" ca="1" si="224"/>
        <v>17.954874346178464</v>
      </c>
      <c r="T467" s="304">
        <f t="shared" ca="1" si="204"/>
        <v>176.13731733601074</v>
      </c>
      <c r="U467" s="311">
        <f t="shared" ca="1" si="205"/>
        <v>0</v>
      </c>
      <c r="V467" s="306">
        <f t="shared" ca="1" si="206"/>
        <v>1.1375741932458669</v>
      </c>
      <c r="W467" s="304">
        <f t="shared" ca="1" si="207"/>
        <v>822.18680227901473</v>
      </c>
      <c r="Y467" s="314" t="str">
        <f t="shared" ca="1" si="225"/>
        <v/>
      </c>
      <c r="Z467" s="315" t="str">
        <f t="shared" ca="1" si="226"/>
        <v/>
      </c>
      <c r="AA467" s="316" t="str">
        <f t="shared" ca="1" si="227"/>
        <v/>
      </c>
      <c r="AC467" s="310" t="e">
        <f t="shared" ca="1" si="228"/>
        <v>#N/A</v>
      </c>
      <c r="AD467" s="323" t="e">
        <f t="shared" ca="1" si="229"/>
        <v>#N/A</v>
      </c>
      <c r="AE467" s="324">
        <f t="shared" ca="1" si="208"/>
        <v>740.08940759673385</v>
      </c>
      <c r="AG467" s="306">
        <f t="shared" ca="1" si="230"/>
        <v>71.175050176754468</v>
      </c>
      <c r="AH467" s="304">
        <f t="shared" ca="1" si="231"/>
        <v>80.317710283149736</v>
      </c>
    </row>
    <row r="468" spans="1:34" x14ac:dyDescent="0.2">
      <c r="A468" s="347">
        <f t="shared" ca="1" si="209"/>
        <v>0.01</v>
      </c>
      <c r="B468" s="304">
        <f t="shared" ca="1" si="210"/>
        <v>4.6399999999999455</v>
      </c>
      <c r="D468" s="306">
        <f t="shared" ca="1" si="211"/>
        <v>29.071298407831911</v>
      </c>
      <c r="E468" s="307">
        <f t="shared" ca="1" si="212"/>
        <v>64.903410090473997</v>
      </c>
      <c r="F468" s="304">
        <f t="shared" ca="1" si="213"/>
        <v>71.116756341170756</v>
      </c>
      <c r="G468" s="306">
        <f t="shared" ca="1" si="214"/>
        <v>127.97410978254953</v>
      </c>
      <c r="H468" s="307">
        <f t="shared" ca="1" si="215"/>
        <v>328.79612450326789</v>
      </c>
      <c r="I468" s="304">
        <f t="shared" ca="1" si="216"/>
        <v>352.82327624889558</v>
      </c>
      <c r="J468" s="306">
        <f t="shared" ca="1" si="217"/>
        <v>271.07331384330558</v>
      </c>
      <c r="K468" s="307">
        <f t="shared" ca="1" si="218"/>
        <v>743.37412367126205</v>
      </c>
      <c r="L468" s="304">
        <f t="shared" ca="1" si="203"/>
        <v>791.25585572683633</v>
      </c>
      <c r="M468" s="306">
        <f t="shared" ca="1" si="219"/>
        <v>1.1996172390940492</v>
      </c>
      <c r="N468" s="304">
        <f t="shared" ca="1" si="220"/>
        <v>68.733004831225202</v>
      </c>
      <c r="P468" s="310">
        <f t="shared" ca="1" si="221"/>
        <v>14</v>
      </c>
      <c r="Q468" s="304">
        <f t="shared" ca="1" si="222"/>
        <v>2260.5397984144997</v>
      </c>
      <c r="R468" s="306">
        <f t="shared" ca="1" si="223"/>
        <v>1.3594301698444013</v>
      </c>
      <c r="S468" s="307">
        <f t="shared" ca="1" si="224"/>
        <v>17.94128004448002</v>
      </c>
      <c r="T468" s="304">
        <f t="shared" ca="1" si="204"/>
        <v>176.00395723634901</v>
      </c>
      <c r="U468" s="311">
        <f t="shared" ca="1" si="205"/>
        <v>0</v>
      </c>
      <c r="V468" s="306">
        <f t="shared" ca="1" si="206"/>
        <v>1.1372000793055042</v>
      </c>
      <c r="W468" s="304">
        <f t="shared" ca="1" si="207"/>
        <v>825.23567866461633</v>
      </c>
      <c r="Y468" s="314" t="str">
        <f t="shared" ca="1" si="225"/>
        <v/>
      </c>
      <c r="Z468" s="315" t="str">
        <f t="shared" ca="1" si="226"/>
        <v/>
      </c>
      <c r="AA468" s="316" t="str">
        <f t="shared" ca="1" si="227"/>
        <v/>
      </c>
      <c r="AC468" s="310" t="e">
        <f t="shared" ca="1" si="228"/>
        <v>#N/A</v>
      </c>
      <c r="AD468" s="323" t="e">
        <f t="shared" ca="1" si="229"/>
        <v>#N/A</v>
      </c>
      <c r="AE468" s="324">
        <f t="shared" ca="1" si="208"/>
        <v>743.37412367126205</v>
      </c>
      <c r="AG468" s="306">
        <f t="shared" ca="1" si="230"/>
        <v>71.027731186606459</v>
      </c>
      <c r="AH468" s="304">
        <f t="shared" ca="1" si="231"/>
        <v>80.17003204729653</v>
      </c>
    </row>
    <row r="469" spans="1:34" x14ac:dyDescent="0.2">
      <c r="A469" s="347">
        <f t="shared" ca="1" si="209"/>
        <v>0.01</v>
      </c>
      <c r="B469" s="304">
        <f t="shared" ca="1" si="210"/>
        <v>4.6499999999999453</v>
      </c>
      <c r="D469" s="306">
        <f t="shared" ca="1" si="211"/>
        <v>29.025234966024009</v>
      </c>
      <c r="E469" s="307">
        <f t="shared" ca="1" si="212"/>
        <v>64.762777148763249</v>
      </c>
      <c r="F469" s="304">
        <f t="shared" ca="1" si="213"/>
        <v>70.969581997171673</v>
      </c>
      <c r="G469" s="306">
        <f t="shared" ca="1" si="214"/>
        <v>128.26436213220978</v>
      </c>
      <c r="H469" s="307">
        <f t="shared" ca="1" si="215"/>
        <v>329.44375227475552</v>
      </c>
      <c r="I469" s="304">
        <f t="shared" ca="1" si="216"/>
        <v>353.53208129680837</v>
      </c>
      <c r="J469" s="306">
        <f t="shared" ca="1" si="217"/>
        <v>272.35450620287941</v>
      </c>
      <c r="K469" s="307">
        <f t="shared" ca="1" si="218"/>
        <v>746.66532305515216</v>
      </c>
      <c r="L469" s="304">
        <f t="shared" ca="1" si="203"/>
        <v>794.78681525429761</v>
      </c>
      <c r="M469" s="306">
        <f t="shared" ca="1" si="219"/>
        <v>1.1995165911131644</v>
      </c>
      <c r="N469" s="304">
        <f t="shared" ca="1" si="220"/>
        <v>68.727238126703995</v>
      </c>
      <c r="P469" s="310">
        <f t="shared" ca="1" si="221"/>
        <v>14</v>
      </c>
      <c r="Q469" s="304">
        <f t="shared" ca="1" si="222"/>
        <v>2259.8500815402076</v>
      </c>
      <c r="R469" s="306">
        <f t="shared" ca="1" si="223"/>
        <v>1.3590153919545271</v>
      </c>
      <c r="S469" s="307">
        <f t="shared" ca="1" si="224"/>
        <v>17.927689890560476</v>
      </c>
      <c r="T469" s="304">
        <f t="shared" ca="1" si="204"/>
        <v>175.87063782639828</v>
      </c>
      <c r="U469" s="311">
        <f t="shared" ca="1" si="205"/>
        <v>0</v>
      </c>
      <c r="V469" s="306">
        <f t="shared" ca="1" si="206"/>
        <v>1.1368253457603983</v>
      </c>
      <c r="W469" s="304">
        <f t="shared" ca="1" si="207"/>
        <v>828.28169924563804</v>
      </c>
      <c r="Y469" s="314" t="str">
        <f t="shared" ca="1" si="225"/>
        <v/>
      </c>
      <c r="Z469" s="315" t="str">
        <f t="shared" ca="1" si="226"/>
        <v/>
      </c>
      <c r="AA469" s="316" t="str">
        <f t="shared" ca="1" si="227"/>
        <v/>
      </c>
      <c r="AC469" s="310" t="e">
        <f t="shared" ca="1" si="228"/>
        <v>#N/A</v>
      </c>
      <c r="AD469" s="323" t="e">
        <f t="shared" ca="1" si="229"/>
        <v>#N/A</v>
      </c>
      <c r="AE469" s="324">
        <f t="shared" ca="1" si="208"/>
        <v>746.66532305515216</v>
      </c>
      <c r="AG469" s="306">
        <f t="shared" ca="1" si="230"/>
        <v>70.880325726998265</v>
      </c>
      <c r="AH469" s="304">
        <f t="shared" ca="1" si="231"/>
        <v>80.022267879084822</v>
      </c>
    </row>
    <row r="470" spans="1:34" x14ac:dyDescent="0.2">
      <c r="A470" s="347">
        <f t="shared" ca="1" si="209"/>
        <v>0.01</v>
      </c>
      <c r="B470" s="304">
        <f t="shared" ca="1" si="210"/>
        <v>4.6599999999999451</v>
      </c>
      <c r="D470" s="306">
        <f t="shared" ca="1" si="211"/>
        <v>28.979100144123503</v>
      </c>
      <c r="E470" s="307">
        <f t="shared" ca="1" si="212"/>
        <v>64.622081759275446</v>
      </c>
      <c r="F470" s="304">
        <f t="shared" ca="1" si="213"/>
        <v>70.822324842281333</v>
      </c>
      <c r="G470" s="306">
        <f t="shared" ca="1" si="214"/>
        <v>128.55415313365103</v>
      </c>
      <c r="H470" s="307">
        <f t="shared" ca="1" si="215"/>
        <v>330.08997309234826</v>
      </c>
      <c r="I470" s="304">
        <f t="shared" ca="1" si="216"/>
        <v>354.23941144940011</v>
      </c>
      <c r="J470" s="306">
        <f t="shared" ca="1" si="217"/>
        <v>273.63859877920873</v>
      </c>
      <c r="K470" s="307">
        <f t="shared" ca="1" si="218"/>
        <v>749.96299168198766</v>
      </c>
      <c r="L470" s="304">
        <f t="shared" ca="1" si="203"/>
        <v>798.32485344904921</v>
      </c>
      <c r="M470" s="306">
        <f t="shared" ca="1" si="219"/>
        <v>1.1994161181279182</v>
      </c>
      <c r="N470" s="304">
        <f t="shared" ca="1" si="220"/>
        <v>68.721481448694306</v>
      </c>
      <c r="P470" s="310">
        <f t="shared" ca="1" si="221"/>
        <v>14</v>
      </c>
      <c r="Q470" s="304">
        <f t="shared" ca="1" si="222"/>
        <v>2259.160364665915</v>
      </c>
      <c r="R470" s="306">
        <f t="shared" ca="1" si="223"/>
        <v>1.3586006140646523</v>
      </c>
      <c r="S470" s="307">
        <f t="shared" ca="1" si="224"/>
        <v>17.914103884419831</v>
      </c>
      <c r="T470" s="304">
        <f t="shared" ca="1" si="204"/>
        <v>175.73735910615855</v>
      </c>
      <c r="U470" s="311">
        <f t="shared" ca="1" si="205"/>
        <v>0</v>
      </c>
      <c r="V470" s="306">
        <f t="shared" ca="1" si="206"/>
        <v>1.1364499948574642</v>
      </c>
      <c r="W470" s="304">
        <f t="shared" ca="1" si="207"/>
        <v>831.32481499434448</v>
      </c>
      <c r="Y470" s="314" t="str">
        <f t="shared" ca="1" si="225"/>
        <v/>
      </c>
      <c r="Z470" s="315" t="str">
        <f t="shared" ca="1" si="226"/>
        <v/>
      </c>
      <c r="AA470" s="316" t="str">
        <f t="shared" ca="1" si="227"/>
        <v/>
      </c>
      <c r="AC470" s="310" t="e">
        <f t="shared" ca="1" si="228"/>
        <v>#N/A</v>
      </c>
      <c r="AD470" s="323" t="e">
        <f t="shared" ca="1" si="229"/>
        <v>#N/A</v>
      </c>
      <c r="AE470" s="324">
        <f t="shared" ca="1" si="208"/>
        <v>749.96299168198766</v>
      </c>
      <c r="AG470" s="306">
        <f t="shared" ca="1" si="230"/>
        <v>70.732836460007348</v>
      </c>
      <c r="AH470" s="304">
        <f t="shared" ca="1" si="231"/>
        <v>79.874420437225112</v>
      </c>
    </row>
    <row r="471" spans="1:34" x14ac:dyDescent="0.2">
      <c r="A471" s="347">
        <f t="shared" ca="1" si="209"/>
        <v>0.01</v>
      </c>
      <c r="B471" s="304">
        <f t="shared" ca="1" si="210"/>
        <v>4.6699999999999449</v>
      </c>
      <c r="D471" s="306">
        <f t="shared" ca="1" si="211"/>
        <v>28.932895036983574</v>
      </c>
      <c r="E471" s="307">
        <f t="shared" ca="1" si="212"/>
        <v>64.481326351102283</v>
      </c>
      <c r="F471" s="304">
        <f t="shared" ca="1" si="213"/>
        <v>70.674987536033328</v>
      </c>
      <c r="G471" s="306">
        <f t="shared" ca="1" si="214"/>
        <v>128.84348208402088</v>
      </c>
      <c r="H471" s="307">
        <f t="shared" ca="1" si="215"/>
        <v>330.73478635585928</v>
      </c>
      <c r="I471" s="304">
        <f t="shared" ca="1" si="216"/>
        <v>354.94526589516772</v>
      </c>
      <c r="J471" s="306">
        <f t="shared" ca="1" si="217"/>
        <v>274.92558695529709</v>
      </c>
      <c r="K471" s="307">
        <f t="shared" ca="1" si="218"/>
        <v>753.26711547922866</v>
      </c>
      <c r="L471" s="304">
        <f t="shared" ca="1" si="203"/>
        <v>801.86995555707927</v>
      </c>
      <c r="M471" s="306">
        <f t="shared" ca="1" si="219"/>
        <v>1.1993158190699409</v>
      </c>
      <c r="N471" s="304">
        <f t="shared" ca="1" si="220"/>
        <v>68.715734735983062</v>
      </c>
      <c r="P471" s="310">
        <f t="shared" ca="1" si="221"/>
        <v>14</v>
      </c>
      <c r="Q471" s="304">
        <f t="shared" ca="1" si="222"/>
        <v>2258.4706477916229</v>
      </c>
      <c r="R471" s="306">
        <f t="shared" ca="1" si="223"/>
        <v>1.3581858361747781</v>
      </c>
      <c r="S471" s="307">
        <f t="shared" ca="1" si="224"/>
        <v>17.900522026058084</v>
      </c>
      <c r="T471" s="304">
        <f t="shared" ca="1" si="204"/>
        <v>175.60412107562982</v>
      </c>
      <c r="U471" s="311">
        <f t="shared" ca="1" si="205"/>
        <v>0</v>
      </c>
      <c r="V471" s="306">
        <f t="shared" ca="1" si="206"/>
        <v>1.1360740288430247</v>
      </c>
      <c r="W471" s="304">
        <f t="shared" ca="1" si="207"/>
        <v>834.3649771495169</v>
      </c>
      <c r="Y471" s="314" t="str">
        <f t="shared" ca="1" si="225"/>
        <v/>
      </c>
      <c r="Z471" s="315" t="str">
        <f t="shared" ca="1" si="226"/>
        <v/>
      </c>
      <c r="AA471" s="316" t="str">
        <f t="shared" ca="1" si="227"/>
        <v/>
      </c>
      <c r="AC471" s="310" t="e">
        <f t="shared" ca="1" si="228"/>
        <v>#N/A</v>
      </c>
      <c r="AD471" s="323" t="e">
        <f t="shared" ca="1" si="229"/>
        <v>#N/A</v>
      </c>
      <c r="AE471" s="324">
        <f t="shared" ca="1" si="208"/>
        <v>753.26711547922866</v>
      </c>
      <c r="AG471" s="306">
        <f t="shared" ca="1" si="230"/>
        <v>70.585266041043326</v>
      </c>
      <c r="AH471" s="304">
        <f t="shared" ca="1" si="231"/>
        <v>79.726492373784339</v>
      </c>
    </row>
    <row r="472" spans="1:34" x14ac:dyDescent="0.2">
      <c r="A472" s="347">
        <f t="shared" ca="1" si="209"/>
        <v>0.01</v>
      </c>
      <c r="B472" s="304">
        <f t="shared" ca="1" si="210"/>
        <v>4.6799999999999446</v>
      </c>
      <c r="D472" s="306">
        <f t="shared" ca="1" si="211"/>
        <v>28.886620736868984</v>
      </c>
      <c r="E472" s="307">
        <f t="shared" ca="1" si="212"/>
        <v>64.340513347046183</v>
      </c>
      <c r="F472" s="304">
        <f t="shared" ca="1" si="213"/>
        <v>70.527572731217234</v>
      </c>
      <c r="G472" s="306">
        <f t="shared" ca="1" si="214"/>
        <v>129.13234829138958</v>
      </c>
      <c r="H472" s="307">
        <f t="shared" ca="1" si="215"/>
        <v>331.37819148932977</v>
      </c>
      <c r="I472" s="304">
        <f t="shared" ca="1" si="216"/>
        <v>355.64964384909433</v>
      </c>
      <c r="J472" s="306">
        <f t="shared" ca="1" si="217"/>
        <v>276.21546610717417</v>
      </c>
      <c r="K472" s="307">
        <f t="shared" ca="1" si="218"/>
        <v>756.57768036845459</v>
      </c>
      <c r="L472" s="304">
        <f t="shared" ca="1" si="203"/>
        <v>805.42210681636675</v>
      </c>
      <c r="M472" s="306">
        <f t="shared" ca="1" si="219"/>
        <v>1.1992156928788897</v>
      </c>
      <c r="N472" s="304">
        <f t="shared" ca="1" si="220"/>
        <v>68.709997927817113</v>
      </c>
      <c r="P472" s="310">
        <f t="shared" ca="1" si="221"/>
        <v>14</v>
      </c>
      <c r="Q472" s="304">
        <f t="shared" ca="1" si="222"/>
        <v>2257.7809309173308</v>
      </c>
      <c r="R472" s="306">
        <f t="shared" ca="1" si="223"/>
        <v>1.3577710582849036</v>
      </c>
      <c r="S472" s="307">
        <f t="shared" ca="1" si="224"/>
        <v>17.886944315475237</v>
      </c>
      <c r="T472" s="304">
        <f t="shared" ca="1" si="204"/>
        <v>175.47092373481209</v>
      </c>
      <c r="U472" s="311">
        <f t="shared" ca="1" si="205"/>
        <v>0</v>
      </c>
      <c r="V472" s="306">
        <f t="shared" ca="1" si="206"/>
        <v>1.1356974499627721</v>
      </c>
      <c r="W472" s="304">
        <f t="shared" ca="1" si="207"/>
        <v>837.40213721744124</v>
      </c>
      <c r="Y472" s="314" t="str">
        <f t="shared" ca="1" si="225"/>
        <v/>
      </c>
      <c r="Z472" s="315" t="str">
        <f t="shared" ca="1" si="226"/>
        <v/>
      </c>
      <c r="AA472" s="316" t="str">
        <f t="shared" ca="1" si="227"/>
        <v/>
      </c>
      <c r="AC472" s="310" t="e">
        <f t="shared" ca="1" si="228"/>
        <v>#N/A</v>
      </c>
      <c r="AD472" s="323" t="e">
        <f t="shared" ca="1" si="229"/>
        <v>#N/A</v>
      </c>
      <c r="AE472" s="324">
        <f t="shared" ca="1" si="208"/>
        <v>756.57768036845459</v>
      </c>
      <c r="AG472" s="306">
        <f t="shared" ca="1" si="230"/>
        <v>70.437617118760102</v>
      </c>
      <c r="AH472" s="304">
        <f t="shared" ca="1" si="231"/>
        <v>79.578486334097761</v>
      </c>
    </row>
    <row r="473" spans="1:34" x14ac:dyDescent="0.2">
      <c r="A473" s="347">
        <f t="shared" ca="1" si="209"/>
        <v>0.01</v>
      </c>
      <c r="B473" s="304">
        <f t="shared" ca="1" si="210"/>
        <v>4.6899999999999444</v>
      </c>
      <c r="D473" s="306">
        <f t="shared" ca="1" si="211"/>
        <v>28.8402783334279</v>
      </c>
      <c r="E473" s="307">
        <f t="shared" ca="1" si="212"/>
        <v>64.199645163538733</v>
      </c>
      <c r="F473" s="304">
        <f t="shared" ca="1" si="213"/>
        <v>70.380083073792065</v>
      </c>
      <c r="G473" s="306">
        <f t="shared" ca="1" si="214"/>
        <v>129.42075107472385</v>
      </c>
      <c r="H473" s="307">
        <f t="shared" ca="1" si="215"/>
        <v>332.02018794096517</v>
      </c>
      <c r="I473" s="304">
        <f t="shared" ca="1" si="216"/>
        <v>356.35254455258132</v>
      </c>
      <c r="J473" s="306">
        <f t="shared" ca="1" si="217"/>
        <v>277.50823160400472</v>
      </c>
      <c r="K473" s="307">
        <f t="shared" ca="1" si="218"/>
        <v>759.89467226560612</v>
      </c>
      <c r="L473" s="304">
        <f t="shared" ca="1" si="203"/>
        <v>808.98129245714631</v>
      </c>
      <c r="M473" s="306">
        <f t="shared" ca="1" si="219"/>
        <v>1.1991157385023676</v>
      </c>
      <c r="N473" s="304">
        <f t="shared" ca="1" si="220"/>
        <v>68.704270963898537</v>
      </c>
      <c r="P473" s="310">
        <f t="shared" ca="1" si="221"/>
        <v>14</v>
      </c>
      <c r="Q473" s="304">
        <f t="shared" ca="1" si="222"/>
        <v>2257.0912140430387</v>
      </c>
      <c r="R473" s="306">
        <f t="shared" ca="1" si="223"/>
        <v>1.3573562803950292</v>
      </c>
      <c r="S473" s="307">
        <f t="shared" ca="1" si="224"/>
        <v>17.873370752671285</v>
      </c>
      <c r="T473" s="304">
        <f t="shared" ca="1" si="204"/>
        <v>175.3377670837053</v>
      </c>
      <c r="U473" s="311">
        <f t="shared" ca="1" si="205"/>
        <v>0</v>
      </c>
      <c r="V473" s="306">
        <f t="shared" ca="1" si="206"/>
        <v>1.1353202604617281</v>
      </c>
      <c r="W473" s="304">
        <f t="shared" ca="1" si="207"/>
        <v>840.43624697287748</v>
      </c>
      <c r="Y473" s="314" t="str">
        <f t="shared" ca="1" si="225"/>
        <v/>
      </c>
      <c r="Z473" s="315" t="str">
        <f t="shared" ca="1" si="226"/>
        <v/>
      </c>
      <c r="AA473" s="316" t="str">
        <f t="shared" ca="1" si="227"/>
        <v/>
      </c>
      <c r="AC473" s="310" t="e">
        <f t="shared" ca="1" si="228"/>
        <v>#N/A</v>
      </c>
      <c r="AD473" s="323" t="e">
        <f t="shared" ca="1" si="229"/>
        <v>#N/A</v>
      </c>
      <c r="AE473" s="324">
        <f t="shared" ca="1" si="208"/>
        <v>759.89467226560612</v>
      </c>
      <c r="AG473" s="306">
        <f t="shared" ca="1" si="230"/>
        <v>70.289892334969224</v>
      </c>
      <c r="AH473" s="304">
        <f t="shared" ca="1" si="231"/>
        <v>79.430404956682068</v>
      </c>
    </row>
    <row r="474" spans="1:34" x14ac:dyDescent="0.2">
      <c r="A474" s="347">
        <f t="shared" ca="1" si="209"/>
        <v>0.01</v>
      </c>
      <c r="B474" s="304">
        <f t="shared" ca="1" si="210"/>
        <v>4.6999999999999442</v>
      </c>
      <c r="D474" s="306">
        <f t="shared" ca="1" si="211"/>
        <v>28.793868913663928</v>
      </c>
      <c r="E474" s="307">
        <f t="shared" ca="1" si="212"/>
        <v>64.058724210559234</v>
      </c>
      <c r="F474" s="304">
        <f t="shared" ca="1" si="213"/>
        <v>70.232521202799987</v>
      </c>
      <c r="G474" s="306">
        <f t="shared" ca="1" si="214"/>
        <v>129.70868976386049</v>
      </c>
      <c r="H474" s="307">
        <f t="shared" ca="1" si="215"/>
        <v>332.66077518307077</v>
      </c>
      <c r="I474" s="304">
        <f t="shared" ca="1" si="216"/>
        <v>357.05396727337865</v>
      </c>
      <c r="J474" s="306">
        <f t="shared" ca="1" si="217"/>
        <v>278.80387880819762</v>
      </c>
      <c r="K474" s="307">
        <f t="shared" ca="1" si="218"/>
        <v>763.21807708122628</v>
      </c>
      <c r="L474" s="304">
        <f t="shared" ca="1" si="203"/>
        <v>812.54749770217177</v>
      </c>
      <c r="M474" s="306">
        <f t="shared" ca="1" si="219"/>
        <v>1.1990159548958468</v>
      </c>
      <c r="N474" s="304">
        <f t="shared" ca="1" si="220"/>
        <v>68.698553784380294</v>
      </c>
      <c r="P474" s="310">
        <f t="shared" ca="1" si="221"/>
        <v>14</v>
      </c>
      <c r="Q474" s="304">
        <f t="shared" ca="1" si="222"/>
        <v>2256.4014971687466</v>
      </c>
      <c r="R474" s="306">
        <f t="shared" ca="1" si="223"/>
        <v>1.3569415025051548</v>
      </c>
      <c r="S474" s="307">
        <f t="shared" ca="1" si="224"/>
        <v>17.859801337646232</v>
      </c>
      <c r="T474" s="304">
        <f t="shared" ca="1" si="204"/>
        <v>175.20465112230954</v>
      </c>
      <c r="U474" s="311">
        <f t="shared" ca="1" si="205"/>
        <v>0</v>
      </c>
      <c r="V474" s="306">
        <f t="shared" ca="1" si="206"/>
        <v>1.1349424625842073</v>
      </c>
      <c r="W474" s="304">
        <f t="shared" ca="1" si="207"/>
        <v>843.46725846000538</v>
      </c>
      <c r="Y474" s="314" t="str">
        <f t="shared" ca="1" si="225"/>
        <v/>
      </c>
      <c r="Z474" s="315" t="str">
        <f t="shared" ca="1" si="226"/>
        <v/>
      </c>
      <c r="AA474" s="316" t="str">
        <f t="shared" ca="1" si="227"/>
        <v/>
      </c>
      <c r="AC474" s="310" t="e">
        <f t="shared" ca="1" si="228"/>
        <v>#N/A</v>
      </c>
      <c r="AD474" s="323" t="e">
        <f t="shared" ca="1" si="229"/>
        <v>#N/A</v>
      </c>
      <c r="AE474" s="324">
        <f t="shared" ca="1" si="208"/>
        <v>763.21807708122628</v>
      </c>
      <c r="AG474" s="306">
        <f t="shared" ca="1" si="230"/>
        <v>70.142094324553625</v>
      </c>
      <c r="AH474" s="304">
        <f t="shared" ca="1" si="231"/>
        <v>79.282250873148911</v>
      </c>
    </row>
    <row r="475" spans="1:34" x14ac:dyDescent="0.2">
      <c r="A475" s="347">
        <f t="shared" ca="1" si="209"/>
        <v>0.01</v>
      </c>
      <c r="B475" s="304">
        <f t="shared" ca="1" si="210"/>
        <v>4.709999999999944</v>
      </c>
      <c r="D475" s="306">
        <f t="shared" ca="1" si="211"/>
        <v>28.747393561908332</v>
      </c>
      <c r="E475" s="307">
        <f t="shared" ca="1" si="212"/>
        <v>63.917752891554727</v>
      </c>
      <c r="F475" s="304">
        <f t="shared" ca="1" si="213"/>
        <v>70.08488975028142</v>
      </c>
      <c r="G475" s="306">
        <f t="shared" ca="1" si="214"/>
        <v>129.99616369947958</v>
      </c>
      <c r="H475" s="307">
        <f t="shared" ca="1" si="215"/>
        <v>333.29995271198629</v>
      </c>
      <c r="I475" s="304">
        <f t="shared" ca="1" si="216"/>
        <v>357.75391130551486</v>
      </c>
      <c r="J475" s="306">
        <f t="shared" ca="1" si="217"/>
        <v>280.1024030755143</v>
      </c>
      <c r="K475" s="307">
        <f t="shared" ca="1" si="218"/>
        <v>766.54788072070153</v>
      </c>
      <c r="L475" s="304">
        <f t="shared" ca="1" si="203"/>
        <v>816.12070776698022</v>
      </c>
      <c r="M475" s="306">
        <f t="shared" ca="1" si="219"/>
        <v>1.1989163410225916</v>
      </c>
      <c r="N475" s="304">
        <f t="shared" ca="1" si="220"/>
        <v>68.692846329861823</v>
      </c>
      <c r="P475" s="310">
        <f t="shared" ca="1" si="221"/>
        <v>14</v>
      </c>
      <c r="Q475" s="304">
        <f t="shared" ca="1" si="222"/>
        <v>2255.7117802944545</v>
      </c>
      <c r="R475" s="306">
        <f t="shared" ca="1" si="223"/>
        <v>1.3565267246152803</v>
      </c>
      <c r="S475" s="307">
        <f t="shared" ca="1" si="224"/>
        <v>17.846236070400078</v>
      </c>
      <c r="T475" s="304">
        <f t="shared" ca="1" si="204"/>
        <v>175.07157585062478</v>
      </c>
      <c r="U475" s="311">
        <f t="shared" ca="1" si="205"/>
        <v>0</v>
      </c>
      <c r="V475" s="306">
        <f t="shared" ca="1" si="206"/>
        <v>1.1345640585737771</v>
      </c>
      <c r="W475" s="304">
        <f t="shared" ca="1" si="207"/>
        <v>846.49512399334878</v>
      </c>
      <c r="Y475" s="314" t="str">
        <f t="shared" ca="1" si="225"/>
        <v/>
      </c>
      <c r="Z475" s="315" t="str">
        <f t="shared" ca="1" si="226"/>
        <v/>
      </c>
      <c r="AA475" s="316" t="str">
        <f t="shared" ca="1" si="227"/>
        <v/>
      </c>
      <c r="AC475" s="310" t="e">
        <f t="shared" ca="1" si="228"/>
        <v>#N/A</v>
      </c>
      <c r="AD475" s="323" t="e">
        <f t="shared" ca="1" si="229"/>
        <v>#N/A</v>
      </c>
      <c r="AE475" s="324">
        <f t="shared" ca="1" si="208"/>
        <v>766.54788072070153</v>
      </c>
      <c r="AG475" s="306">
        <f t="shared" ca="1" si="230"/>
        <v>69.994225715382683</v>
      </c>
      <c r="AH475" s="304">
        <f t="shared" ca="1" si="231"/>
        <v>79.13402670811972</v>
      </c>
    </row>
    <row r="476" spans="1:34" x14ac:dyDescent="0.2">
      <c r="A476" s="347">
        <f t="shared" ca="1" si="209"/>
        <v>0.01</v>
      </c>
      <c r="B476" s="304">
        <f t="shared" ca="1" si="210"/>
        <v>4.7199999999999438</v>
      </c>
      <c r="D476" s="306">
        <f t="shared" ca="1" si="211"/>
        <v>28.70085335979234</v>
      </c>
      <c r="E476" s="307">
        <f t="shared" ca="1" si="212"/>
        <v>63.776733603360441</v>
      </c>
      <c r="F476" s="304">
        <f t="shared" ca="1" si="213"/>
        <v>69.937191341190612</v>
      </c>
      <c r="G476" s="306">
        <f t="shared" ca="1" si="214"/>
        <v>130.28317223307749</v>
      </c>
      <c r="H476" s="307">
        <f t="shared" ca="1" si="215"/>
        <v>333.93772004801991</v>
      </c>
      <c r="I476" s="304">
        <f t="shared" ca="1" si="216"/>
        <v>358.45237596922613</v>
      </c>
      <c r="J476" s="306">
        <f t="shared" ca="1" si="217"/>
        <v>281.40379975517709</v>
      </c>
      <c r="K476" s="307">
        <f t="shared" ca="1" si="218"/>
        <v>769.88406908450156</v>
      </c>
      <c r="L476" s="304">
        <f t="shared" ca="1" si="203"/>
        <v>819.70090786015442</v>
      </c>
      <c r="M476" s="306">
        <f t="shared" ca="1" si="219"/>
        <v>1.1988168958535821</v>
      </c>
      <c r="N476" s="304">
        <f t="shared" ca="1" si="220"/>
        <v>68.687148541384616</v>
      </c>
      <c r="P476" s="310">
        <f t="shared" ca="1" si="221"/>
        <v>14</v>
      </c>
      <c r="Q476" s="304">
        <f t="shared" ca="1" si="222"/>
        <v>2255.0220634201623</v>
      </c>
      <c r="R476" s="306">
        <f t="shared" ca="1" si="223"/>
        <v>1.3561119467254059</v>
      </c>
      <c r="S476" s="307">
        <f t="shared" ca="1" si="224"/>
        <v>17.832674950932823</v>
      </c>
      <c r="T476" s="304">
        <f t="shared" ca="1" si="204"/>
        <v>174.93854126865099</v>
      </c>
      <c r="U476" s="311">
        <f t="shared" ca="1" si="205"/>
        <v>0</v>
      </c>
      <c r="V476" s="306">
        <f t="shared" ca="1" si="206"/>
        <v>1.1341850506732187</v>
      </c>
      <c r="W476" s="304">
        <f t="shared" ca="1" si="207"/>
        <v>849.51979615867879</v>
      </c>
      <c r="Y476" s="314" t="str">
        <f t="shared" ca="1" si="225"/>
        <v/>
      </c>
      <c r="Z476" s="315" t="str">
        <f t="shared" ca="1" si="226"/>
        <v/>
      </c>
      <c r="AA476" s="316" t="str">
        <f t="shared" ca="1" si="227"/>
        <v/>
      </c>
      <c r="AC476" s="310" t="e">
        <f t="shared" ca="1" si="228"/>
        <v>#N/A</v>
      </c>
      <c r="AD476" s="323" t="e">
        <f t="shared" ca="1" si="229"/>
        <v>#N/A</v>
      </c>
      <c r="AE476" s="324">
        <f t="shared" ca="1" si="208"/>
        <v>769.88406908450156</v>
      </c>
      <c r="AG476" s="306">
        <f t="shared" ca="1" si="230"/>
        <v>69.846289128227681</v>
      </c>
      <c r="AH476" s="304">
        <f t="shared" ca="1" si="231"/>
        <v>78.98573507914098</v>
      </c>
    </row>
    <row r="477" spans="1:34" x14ac:dyDescent="0.2">
      <c r="A477" s="347">
        <f t="shared" ca="1" si="209"/>
        <v>0.01</v>
      </c>
      <c r="B477" s="304">
        <f t="shared" ca="1" si="210"/>
        <v>4.7299999999999436</v>
      </c>
      <c r="D477" s="306">
        <f t="shared" ca="1" si="211"/>
        <v>28.654249386219934</v>
      </c>
      <c r="E477" s="307">
        <f t="shared" ca="1" si="212"/>
        <v>63.635668736121389</v>
      </c>
      <c r="F477" s="304">
        <f t="shared" ca="1" si="213"/>
        <v>69.789428593312493</v>
      </c>
      <c r="G477" s="306">
        <f t="shared" ca="1" si="214"/>
        <v>130.56971472693968</v>
      </c>
      <c r="H477" s="307">
        <f t="shared" ca="1" si="215"/>
        <v>334.57407673538114</v>
      </c>
      <c r="I477" s="304">
        <f t="shared" ca="1" si="216"/>
        <v>359.14936061088446</v>
      </c>
      <c r="J477" s="306">
        <f t="shared" ca="1" si="217"/>
        <v>282.70806418997716</v>
      </c>
      <c r="K477" s="307">
        <f t="shared" ca="1" si="218"/>
        <v>773.22662806841856</v>
      </c>
      <c r="L477" s="304">
        <f t="shared" ca="1" si="203"/>
        <v>823.28808318358449</v>
      </c>
      <c r="M477" s="306">
        <f t="shared" ca="1" si="219"/>
        <v>1.1987176183674397</v>
      </c>
      <c r="N477" s="304">
        <f t="shared" ca="1" si="220"/>
        <v>68.681460360427991</v>
      </c>
      <c r="P477" s="310">
        <f t="shared" ca="1" si="221"/>
        <v>14</v>
      </c>
      <c r="Q477" s="304">
        <f t="shared" ca="1" si="222"/>
        <v>2254.3323465458702</v>
      </c>
      <c r="R477" s="306">
        <f t="shared" ca="1" si="223"/>
        <v>1.3556971688355315</v>
      </c>
      <c r="S477" s="307">
        <f t="shared" ca="1" si="224"/>
        <v>17.819117979244467</v>
      </c>
      <c r="T477" s="304">
        <f t="shared" ca="1" si="204"/>
        <v>174.80554737638823</v>
      </c>
      <c r="U477" s="311">
        <f t="shared" ca="1" si="205"/>
        <v>0</v>
      </c>
      <c r="V477" s="306">
        <f t="shared" ca="1" si="206"/>
        <v>1.1338054411244933</v>
      </c>
      <c r="W477" s="304">
        <f t="shared" ca="1" si="207"/>
        <v>852.54122781389879</v>
      </c>
      <c r="Y477" s="314" t="str">
        <f t="shared" ca="1" si="225"/>
        <v/>
      </c>
      <c r="Z477" s="315" t="str">
        <f t="shared" ca="1" si="226"/>
        <v/>
      </c>
      <c r="AA477" s="316" t="str">
        <f t="shared" ca="1" si="227"/>
        <v/>
      </c>
      <c r="AC477" s="310" t="e">
        <f t="shared" ca="1" si="228"/>
        <v>#N/A</v>
      </c>
      <c r="AD477" s="323" t="e">
        <f t="shared" ca="1" si="229"/>
        <v>#N/A</v>
      </c>
      <c r="AE477" s="324">
        <f t="shared" ca="1" si="208"/>
        <v>773.22662806841856</v>
      </c>
      <c r="AG477" s="306">
        <f t="shared" ca="1" si="230"/>
        <v>69.698287176678576</v>
      </c>
      <c r="AH477" s="304">
        <f t="shared" ca="1" si="231"/>
        <v>78.837378596600757</v>
      </c>
    </row>
    <row r="478" spans="1:34" x14ac:dyDescent="0.2">
      <c r="A478" s="347">
        <f t="shared" ca="1" si="209"/>
        <v>0.01</v>
      </c>
      <c r="B478" s="304">
        <f t="shared" ca="1" si="210"/>
        <v>4.7399999999999434</v>
      </c>
      <c r="D478" s="306">
        <f t="shared" ca="1" si="211"/>
        <v>28.607582717340371</v>
      </c>
      <c r="E478" s="307">
        <f t="shared" ca="1" si="212"/>
        <v>63.494560673214067</v>
      </c>
      <c r="F478" s="304">
        <f t="shared" ca="1" si="213"/>
        <v>69.641604117179369</v>
      </c>
      <c r="G478" s="306">
        <f t="shared" ca="1" si="214"/>
        <v>130.85579055411307</v>
      </c>
      <c r="H478" s="307">
        <f t="shared" ca="1" si="215"/>
        <v>335.20902234211326</v>
      </c>
      <c r="I478" s="304">
        <f t="shared" ca="1" si="216"/>
        <v>359.84486460292482</v>
      </c>
      <c r="J478" s="306">
        <f t="shared" ca="1" si="217"/>
        <v>284.01519171638245</v>
      </c>
      <c r="K478" s="307">
        <f t="shared" ca="1" si="218"/>
        <v>776.57554356380604</v>
      </c>
      <c r="L478" s="304">
        <f t="shared" ca="1" si="203"/>
        <v>826.88221893272942</v>
      </c>
      <c r="M478" s="306">
        <f t="shared" ca="1" si="219"/>
        <v>1.1986185075503524</v>
      </c>
      <c r="N478" s="304">
        <f t="shared" ca="1" si="220"/>
        <v>68.675781728904795</v>
      </c>
      <c r="P478" s="310">
        <f t="shared" ca="1" si="221"/>
        <v>14</v>
      </c>
      <c r="Q478" s="304">
        <f t="shared" ca="1" si="222"/>
        <v>2253.6426296715781</v>
      </c>
      <c r="R478" s="306">
        <f t="shared" ca="1" si="223"/>
        <v>1.3552823909456571</v>
      </c>
      <c r="S478" s="307">
        <f t="shared" ca="1" si="224"/>
        <v>17.80556515533501</v>
      </c>
      <c r="T478" s="304">
        <f t="shared" ca="1" si="204"/>
        <v>174.67259417383647</v>
      </c>
      <c r="U478" s="311">
        <f t="shared" ca="1" si="205"/>
        <v>0</v>
      </c>
      <c r="V478" s="306">
        <f t="shared" ca="1" si="206"/>
        <v>1.1334252321686999</v>
      </c>
      <c r="W478" s="304">
        <f t="shared" ca="1" si="207"/>
        <v>855.5593720899019</v>
      </c>
      <c r="Y478" s="314" t="str">
        <f t="shared" ca="1" si="225"/>
        <v/>
      </c>
      <c r="Z478" s="315" t="str">
        <f t="shared" ca="1" si="226"/>
        <v/>
      </c>
      <c r="AA478" s="316" t="str">
        <f t="shared" ca="1" si="227"/>
        <v/>
      </c>
      <c r="AC478" s="310" t="e">
        <f t="shared" ca="1" si="228"/>
        <v>#N/A</v>
      </c>
      <c r="AD478" s="323" t="e">
        <f t="shared" ca="1" si="229"/>
        <v>#N/A</v>
      </c>
      <c r="AE478" s="324">
        <f t="shared" ca="1" si="208"/>
        <v>776.57554356380604</v>
      </c>
      <c r="AG478" s="306">
        <f t="shared" ca="1" si="230"/>
        <v>69.550222467060919</v>
      </c>
      <c r="AH478" s="304">
        <f t="shared" ca="1" si="231"/>
        <v>78.68895986364538</v>
      </c>
    </row>
    <row r="479" spans="1:34" x14ac:dyDescent="0.2">
      <c r="A479" s="347">
        <f t="shared" ca="1" si="209"/>
        <v>0.01</v>
      </c>
      <c r="B479" s="304">
        <f t="shared" ca="1" si="210"/>
        <v>4.7499999999999432</v>
      </c>
      <c r="D479" s="306">
        <f t="shared" ca="1" si="211"/>
        <v>28.560854426521431</v>
      </c>
      <c r="E479" s="307">
        <f t="shared" ca="1" si="212"/>
        <v>63.353411791169975</v>
      </c>
      <c r="F479" s="304">
        <f t="shared" ca="1" si="213"/>
        <v>69.493720515989821</v>
      </c>
      <c r="G479" s="306">
        <f t="shared" ca="1" si="214"/>
        <v>131.14139909837829</v>
      </c>
      <c r="H479" s="307">
        <f t="shared" ca="1" si="215"/>
        <v>335.84255646002498</v>
      </c>
      <c r="I479" s="304">
        <f t="shared" ca="1" si="216"/>
        <v>360.5388873437721</v>
      </c>
      <c r="J479" s="306">
        <f t="shared" ca="1" si="217"/>
        <v>285.32517766464491</v>
      </c>
      <c r="K479" s="307">
        <f t="shared" ca="1" si="218"/>
        <v>779.93080145781676</v>
      </c>
      <c r="L479" s="304">
        <f t="shared" ca="1" si="203"/>
        <v>830.48330029687759</v>
      </c>
      <c r="M479" s="306">
        <f t="shared" ca="1" si="219"/>
        <v>1.1985195623960025</v>
      </c>
      <c r="N479" s="304">
        <f t="shared" ca="1" si="220"/>
        <v>68.67011258915727</v>
      </c>
      <c r="P479" s="310">
        <f t="shared" ca="1" si="221"/>
        <v>14</v>
      </c>
      <c r="Q479" s="304">
        <f t="shared" ca="1" si="222"/>
        <v>2252.9529127972855</v>
      </c>
      <c r="R479" s="306">
        <f t="shared" ca="1" si="223"/>
        <v>1.3548676130557824</v>
      </c>
      <c r="S479" s="307">
        <f t="shared" ca="1" si="224"/>
        <v>17.792016479204452</v>
      </c>
      <c r="T479" s="304">
        <f t="shared" ca="1" si="204"/>
        <v>174.53968166099568</v>
      </c>
      <c r="U479" s="311">
        <f t="shared" ca="1" si="205"/>
        <v>0</v>
      </c>
      <c r="V479" s="306">
        <f t="shared" ca="1" si="206"/>
        <v>1.1330444260460388</v>
      </c>
      <c r="W479" s="304">
        <f t="shared" ca="1" si="207"/>
        <v>858.5741823914118</v>
      </c>
      <c r="Y479" s="314" t="str">
        <f t="shared" ca="1" si="225"/>
        <v/>
      </c>
      <c r="Z479" s="315" t="str">
        <f t="shared" ca="1" si="226"/>
        <v/>
      </c>
      <c r="AA479" s="316" t="str">
        <f t="shared" ca="1" si="227"/>
        <v/>
      </c>
      <c r="AC479" s="310" t="e">
        <f t="shared" ca="1" si="228"/>
        <v>#N/A</v>
      </c>
      <c r="AD479" s="323" t="e">
        <f t="shared" ca="1" si="229"/>
        <v>#N/A</v>
      </c>
      <c r="AE479" s="324">
        <f t="shared" ca="1" si="208"/>
        <v>779.93080145781676</v>
      </c>
      <c r="AG479" s="306">
        <f t="shared" ca="1" si="230"/>
        <v>69.402097598354359</v>
      </c>
      <c r="AH479" s="304">
        <f t="shared" ca="1" si="231"/>
        <v>78.540481476097781</v>
      </c>
    </row>
    <row r="480" spans="1:34" x14ac:dyDescent="0.2">
      <c r="A480" s="347">
        <f t="shared" ca="1" si="209"/>
        <v>0.01</v>
      </c>
      <c r="B480" s="304">
        <f t="shared" ca="1" si="210"/>
        <v>4.7599999999999429</v>
      </c>
      <c r="D480" s="306">
        <f t="shared" ca="1" si="211"/>
        <v>28.514065584322459</v>
      </c>
      <c r="E480" s="307">
        <f t="shared" ca="1" si="212"/>
        <v>63.212224459599298</v>
      </c>
      <c r="F480" s="304">
        <f t="shared" ca="1" si="213"/>
        <v>69.345780385527462</v>
      </c>
      <c r="G480" s="306">
        <f t="shared" ca="1" si="214"/>
        <v>131.42653975422152</v>
      </c>
      <c r="H480" s="307">
        <f t="shared" ca="1" si="215"/>
        <v>336.474678704621</v>
      </c>
      <c r="I480" s="304">
        <f t="shared" ca="1" si="216"/>
        <v>361.23142825776648</v>
      </c>
      <c r="J480" s="306">
        <f t="shared" ca="1" si="217"/>
        <v>286.63801735890792</v>
      </c>
      <c r="K480" s="307">
        <f t="shared" ca="1" si="218"/>
        <v>783.29238763364003</v>
      </c>
      <c r="L480" s="304">
        <f t="shared" ca="1" si="203"/>
        <v>834.0913124594058</v>
      </c>
      <c r="M480" s="306">
        <f t="shared" ca="1" si="219"/>
        <v>1.1984207819054935</v>
      </c>
      <c r="N480" s="304">
        <f t="shared" ca="1" si="220"/>
        <v>68.664452883952876</v>
      </c>
      <c r="P480" s="310">
        <f t="shared" ca="1" si="221"/>
        <v>14</v>
      </c>
      <c r="Q480" s="304">
        <f t="shared" ca="1" si="222"/>
        <v>2252.2631959229934</v>
      </c>
      <c r="R480" s="306">
        <f t="shared" ca="1" si="223"/>
        <v>1.354452835165908</v>
      </c>
      <c r="S480" s="307">
        <f t="shared" ca="1" si="224"/>
        <v>17.778471950852794</v>
      </c>
      <c r="T480" s="304">
        <f t="shared" ca="1" si="204"/>
        <v>174.40680983786592</v>
      </c>
      <c r="U480" s="311">
        <f t="shared" ca="1" si="205"/>
        <v>0</v>
      </c>
      <c r="V480" s="306">
        <f t="shared" ca="1" si="206"/>
        <v>1.1326630249957756</v>
      </c>
      <c r="W480" s="304">
        <f t="shared" ca="1" si="207"/>
        <v>861.58561239780261</v>
      </c>
      <c r="Y480" s="314" t="str">
        <f t="shared" ca="1" si="225"/>
        <v/>
      </c>
      <c r="Z480" s="315" t="str">
        <f t="shared" ca="1" si="226"/>
        <v/>
      </c>
      <c r="AA480" s="316" t="str">
        <f t="shared" ca="1" si="227"/>
        <v/>
      </c>
      <c r="AC480" s="310" t="e">
        <f t="shared" ca="1" si="228"/>
        <v>#N/A</v>
      </c>
      <c r="AD480" s="323" t="e">
        <f t="shared" ca="1" si="229"/>
        <v>#N/A</v>
      </c>
      <c r="AE480" s="324">
        <f t="shared" ca="1" si="208"/>
        <v>783.29238763364003</v>
      </c>
      <c r="AG480" s="306">
        <f t="shared" ca="1" si="230"/>
        <v>69.253915162111625</v>
      </c>
      <c r="AH480" s="304">
        <f t="shared" ca="1" si="231"/>
        <v>78.391946022376203</v>
      </c>
    </row>
    <row r="481" spans="1:34" x14ac:dyDescent="0.2">
      <c r="A481" s="347">
        <f t="shared" ca="1" si="209"/>
        <v>0.01</v>
      </c>
      <c r="B481" s="304">
        <f t="shared" ca="1" si="210"/>
        <v>4.7699999999999427</v>
      </c>
      <c r="D481" s="306">
        <f t="shared" ca="1" si="211"/>
        <v>28.467217258467851</v>
      </c>
      <c r="E481" s="307">
        <f t="shared" ca="1" si="212"/>
        <v>63.071001041115409</v>
      </c>
      <c r="F481" s="304">
        <f t="shared" ca="1" si="213"/>
        <v>69.197786314080815</v>
      </c>
      <c r="G481" s="306">
        <f t="shared" ca="1" si="214"/>
        <v>131.71121192680621</v>
      </c>
      <c r="H481" s="307">
        <f t="shared" ca="1" si="215"/>
        <v>337.10538871503218</v>
      </c>
      <c r="I481" s="304">
        <f t="shared" ca="1" si="216"/>
        <v>361.9224867950885</v>
      </c>
      <c r="J481" s="306">
        <f t="shared" ca="1" si="217"/>
        <v>287.95370611731306</v>
      </c>
      <c r="K481" s="307">
        <f t="shared" ca="1" si="218"/>
        <v>786.6602879707383</v>
      </c>
      <c r="L481" s="304">
        <f t="shared" ca="1" si="203"/>
        <v>837.7062405980397</v>
      </c>
      <c r="M481" s="306">
        <f t="shared" ca="1" si="219"/>
        <v>1.1983221650872788</v>
      </c>
      <c r="N481" s="304">
        <f t="shared" ca="1" si="220"/>
        <v>68.658802556480168</v>
      </c>
      <c r="P481" s="310">
        <f t="shared" ca="1" si="221"/>
        <v>14</v>
      </c>
      <c r="Q481" s="304">
        <f t="shared" ca="1" si="222"/>
        <v>2251.5734790487013</v>
      </c>
      <c r="R481" s="306">
        <f t="shared" ca="1" si="223"/>
        <v>1.3540380572760335</v>
      </c>
      <c r="S481" s="307">
        <f t="shared" ca="1" si="224"/>
        <v>17.764931570280034</v>
      </c>
      <c r="T481" s="304">
        <f t="shared" ca="1" si="204"/>
        <v>174.27397870444713</v>
      </c>
      <c r="U481" s="311">
        <f t="shared" ca="1" si="205"/>
        <v>0</v>
      </c>
      <c r="V481" s="306">
        <f t="shared" ca="1" si="206"/>
        <v>1.1322810312562019</v>
      </c>
      <c r="W481" s="304">
        <f t="shared" ca="1" si="207"/>
        <v>864.59361606389439</v>
      </c>
      <c r="Y481" s="314" t="str">
        <f t="shared" ca="1" si="225"/>
        <v/>
      </c>
      <c r="Z481" s="315" t="str">
        <f t="shared" ca="1" si="226"/>
        <v/>
      </c>
      <c r="AA481" s="316" t="str">
        <f t="shared" ca="1" si="227"/>
        <v/>
      </c>
      <c r="AC481" s="310" t="e">
        <f t="shared" ca="1" si="228"/>
        <v>#N/A</v>
      </c>
      <c r="AD481" s="323" t="e">
        <f t="shared" ca="1" si="229"/>
        <v>#N/A</v>
      </c>
      <c r="AE481" s="324">
        <f t="shared" ca="1" si="208"/>
        <v>786.6602879707383</v>
      </c>
      <c r="AG481" s="306">
        <f t="shared" ca="1" si="230"/>
        <v>69.105677742378163</v>
      </c>
      <c r="AH481" s="304">
        <f t="shared" ca="1" si="231"/>
        <v>78.243356083413715</v>
      </c>
    </row>
    <row r="482" spans="1:34" x14ac:dyDescent="0.2">
      <c r="A482" s="347">
        <f t="shared" ca="1" si="209"/>
        <v>0.01</v>
      </c>
      <c r="B482" s="304">
        <f t="shared" ca="1" si="210"/>
        <v>4.7799999999999425</v>
      </c>
      <c r="D482" s="306">
        <f t="shared" ca="1" si="211"/>
        <v>28.420310513820624</v>
      </c>
      <c r="E482" s="307">
        <f t="shared" ca="1" si="212"/>
        <v>62.929743891260472</v>
      </c>
      <c r="F482" s="304">
        <f t="shared" ca="1" si="213"/>
        <v>69.049740882364048</v>
      </c>
      <c r="G482" s="306">
        <f t="shared" ca="1" si="214"/>
        <v>131.99541503194442</v>
      </c>
      <c r="H482" s="307">
        <f t="shared" ca="1" si="215"/>
        <v>337.73468615394478</v>
      </c>
      <c r="I482" s="304">
        <f t="shared" ca="1" si="216"/>
        <v>362.61206243168306</v>
      </c>
      <c r="J482" s="306">
        <f t="shared" ca="1" si="217"/>
        <v>289.27223925210683</v>
      </c>
      <c r="K482" s="307">
        <f t="shared" ca="1" si="218"/>
        <v>790.03448834508322</v>
      </c>
      <c r="L482" s="304">
        <f t="shared" ca="1" si="203"/>
        <v>841.32806988511061</v>
      </c>
      <c r="M482" s="306">
        <f t="shared" ca="1" si="219"/>
        <v>1.1982237109570921</v>
      </c>
      <c r="N482" s="304">
        <f t="shared" ca="1" si="220"/>
        <v>68.653161550344834</v>
      </c>
      <c r="P482" s="310">
        <f t="shared" ca="1" si="221"/>
        <v>14</v>
      </c>
      <c r="Q482" s="304">
        <f t="shared" ca="1" si="222"/>
        <v>2250.8837621744092</v>
      </c>
      <c r="R482" s="306">
        <f t="shared" ca="1" si="223"/>
        <v>1.3536232793861591</v>
      </c>
      <c r="S482" s="307">
        <f t="shared" ca="1" si="224"/>
        <v>17.751395337486173</v>
      </c>
      <c r="T482" s="304">
        <f t="shared" ca="1" si="204"/>
        <v>174.14118826073937</v>
      </c>
      <c r="U482" s="311">
        <f t="shared" ca="1" si="205"/>
        <v>0</v>
      </c>
      <c r="V482" s="306">
        <f t="shared" ca="1" si="206"/>
        <v>1.1318984470646003</v>
      </c>
      <c r="W482" s="304">
        <f t="shared" ca="1" si="207"/>
        <v>867.59814762072949</v>
      </c>
      <c r="Y482" s="314" t="str">
        <f t="shared" ca="1" si="225"/>
        <v/>
      </c>
      <c r="Z482" s="315" t="str">
        <f t="shared" ca="1" si="226"/>
        <v/>
      </c>
      <c r="AA482" s="316" t="str">
        <f t="shared" ca="1" si="227"/>
        <v/>
      </c>
      <c r="AC482" s="310" t="e">
        <f t="shared" ca="1" si="228"/>
        <v>#N/A</v>
      </c>
      <c r="AD482" s="323" t="e">
        <f t="shared" ca="1" si="229"/>
        <v>#N/A</v>
      </c>
      <c r="AE482" s="324">
        <f t="shared" ca="1" si="208"/>
        <v>790.03448834508322</v>
      </c>
      <c r="AG482" s="306">
        <f t="shared" ca="1" si="230"/>
        <v>68.957387915613026</v>
      </c>
      <c r="AH482" s="304">
        <f t="shared" ca="1" si="231"/>
        <v>78.094714232578823</v>
      </c>
    </row>
    <row r="483" spans="1:34" x14ac:dyDescent="0.2">
      <c r="A483" s="347">
        <f t="shared" ca="1" si="209"/>
        <v>0.01</v>
      </c>
      <c r="B483" s="304">
        <f t="shared" ca="1" si="210"/>
        <v>4.7899999999999423</v>
      </c>
      <c r="D483" s="306">
        <f t="shared" ca="1" si="211"/>
        <v>28.373346412356277</v>
      </c>
      <c r="E483" s="307">
        <f t="shared" ca="1" si="212"/>
        <v>62.788455358431847</v>
      </c>
      <c r="F483" s="304">
        <f t="shared" ca="1" si="213"/>
        <v>68.901646663438754</v>
      </c>
      <c r="G483" s="306">
        <f t="shared" ca="1" si="214"/>
        <v>132.27914849606799</v>
      </c>
      <c r="H483" s="307">
        <f t="shared" ca="1" si="215"/>
        <v>338.36257070752907</v>
      </c>
      <c r="I483" s="304">
        <f t="shared" ca="1" si="216"/>
        <v>363.3001546691832</v>
      </c>
      <c r="J483" s="306">
        <f t="shared" ca="1" si="217"/>
        <v>290.59361206974688</v>
      </c>
      <c r="K483" s="307">
        <f t="shared" ca="1" si="218"/>
        <v>793.4149746293906</v>
      </c>
      <c r="L483" s="304">
        <f t="shared" ca="1" si="203"/>
        <v>844.95678548781359</v>
      </c>
      <c r="M483" s="306">
        <f t="shared" ca="1" si="219"/>
        <v>1.1981254185378765</v>
      </c>
      <c r="N483" s="304">
        <f t="shared" ca="1" si="220"/>
        <v>68.64752980956564</v>
      </c>
      <c r="P483" s="310">
        <f t="shared" ca="1" si="221"/>
        <v>14</v>
      </c>
      <c r="Q483" s="304">
        <f t="shared" ca="1" si="222"/>
        <v>2250.1940453001171</v>
      </c>
      <c r="R483" s="306">
        <f t="shared" ca="1" si="223"/>
        <v>1.3532085014962849</v>
      </c>
      <c r="S483" s="307">
        <f t="shared" ca="1" si="224"/>
        <v>17.737863252471211</v>
      </c>
      <c r="T483" s="304">
        <f t="shared" ca="1" si="204"/>
        <v>174.00843850674258</v>
      </c>
      <c r="U483" s="311">
        <f t="shared" ca="1" si="205"/>
        <v>0</v>
      </c>
      <c r="V483" s="306">
        <f t="shared" ca="1" si="206"/>
        <v>1.1315152746572041</v>
      </c>
      <c r="W483" s="304">
        <f t="shared" ca="1" si="207"/>
        <v>870.59916157632915</v>
      </c>
      <c r="Y483" s="314" t="str">
        <f t="shared" ca="1" si="225"/>
        <v/>
      </c>
      <c r="Z483" s="315" t="str">
        <f t="shared" ca="1" si="226"/>
        <v/>
      </c>
      <c r="AA483" s="316" t="str">
        <f t="shared" ca="1" si="227"/>
        <v/>
      </c>
      <c r="AC483" s="310" t="e">
        <f t="shared" ca="1" si="228"/>
        <v>#N/A</v>
      </c>
      <c r="AD483" s="323" t="e">
        <f t="shared" ca="1" si="229"/>
        <v>#N/A</v>
      </c>
      <c r="AE483" s="324">
        <f t="shared" ca="1" si="208"/>
        <v>793.4149746293906</v>
      </c>
      <c r="AG483" s="306">
        <f t="shared" ca="1" si="230"/>
        <v>68.809048250610445</v>
      </c>
      <c r="AH483" s="304">
        <f t="shared" ca="1" si="231"/>
        <v>77.946023035596838</v>
      </c>
    </row>
    <row r="484" spans="1:34" x14ac:dyDescent="0.2">
      <c r="A484" s="347">
        <f t="shared" ca="1" si="209"/>
        <v>0.01</v>
      </c>
      <c r="B484" s="304">
        <f t="shared" ca="1" si="210"/>
        <v>4.7999999999999421</v>
      </c>
      <c r="D484" s="306">
        <f t="shared" ca="1" si="211"/>
        <v>28.326326013136814</v>
      </c>
      <c r="E484" s="307">
        <f t="shared" ca="1" si="212"/>
        <v>62.647137783808972</v>
      </c>
      <c r="F484" s="304">
        <f t="shared" ca="1" si="213"/>
        <v>68.753506222636076</v>
      </c>
      <c r="G484" s="306">
        <f t="shared" ca="1" si="214"/>
        <v>132.56241175619937</v>
      </c>
      <c r="H484" s="307">
        <f t="shared" ca="1" si="215"/>
        <v>338.98904208536715</v>
      </c>
      <c r="I484" s="304">
        <f t="shared" ca="1" si="216"/>
        <v>363.98676303483199</v>
      </c>
      <c r="J484" s="306">
        <f t="shared" ca="1" si="217"/>
        <v>291.91781987100819</v>
      </c>
      <c r="K484" s="307">
        <f t="shared" ca="1" si="218"/>
        <v>796.80173269335512</v>
      </c>
      <c r="L484" s="304">
        <f t="shared" ca="1" si="203"/>
        <v>848.59237256846427</v>
      </c>
      <c r="M484" s="306">
        <f t="shared" ca="1" si="219"/>
        <v>1.1980272868597162</v>
      </c>
      <c r="N484" s="304">
        <f t="shared" ca="1" si="220"/>
        <v>68.641907278570528</v>
      </c>
      <c r="P484" s="310">
        <f t="shared" ca="1" si="221"/>
        <v>14</v>
      </c>
      <c r="Q484" s="304">
        <f t="shared" ca="1" si="222"/>
        <v>2249.504328425825</v>
      </c>
      <c r="R484" s="306">
        <f t="shared" ca="1" si="223"/>
        <v>1.3527937236064105</v>
      </c>
      <c r="S484" s="307">
        <f t="shared" ca="1" si="224"/>
        <v>17.724335315235148</v>
      </c>
      <c r="T484" s="304">
        <f t="shared" ca="1" si="204"/>
        <v>173.87572944245682</v>
      </c>
      <c r="U484" s="311">
        <f t="shared" ca="1" si="205"/>
        <v>0</v>
      </c>
      <c r="V484" s="306">
        <f t="shared" ca="1" si="206"/>
        <v>1.1311315162691655</v>
      </c>
      <c r="W484" s="304">
        <f t="shared" ca="1" si="207"/>
        <v>873.5966127164271</v>
      </c>
      <c r="Y484" s="314" t="str">
        <f t="shared" ca="1" si="225"/>
        <v/>
      </c>
      <c r="Z484" s="315" t="str">
        <f t="shared" ca="1" si="226"/>
        <v/>
      </c>
      <c r="AA484" s="316" t="str">
        <f t="shared" ca="1" si="227"/>
        <v/>
      </c>
      <c r="AC484" s="310" t="e">
        <f t="shared" ca="1" si="228"/>
        <v>#N/A</v>
      </c>
      <c r="AD484" s="323" t="e">
        <f t="shared" ca="1" si="229"/>
        <v>#N/A</v>
      </c>
      <c r="AE484" s="324">
        <f t="shared" ca="1" si="208"/>
        <v>796.80173269335512</v>
      </c>
      <c r="AG484" s="306">
        <f t="shared" ca="1" si="230"/>
        <v>68.660661308422064</v>
      </c>
      <c r="AH484" s="304">
        <f t="shared" ca="1" si="231"/>
        <v>77.79728505047197</v>
      </c>
    </row>
    <row r="485" spans="1:34" x14ac:dyDescent="0.2">
      <c r="A485" s="347">
        <f t="shared" ca="1" si="209"/>
        <v>0.01</v>
      </c>
      <c r="B485" s="304">
        <f t="shared" ca="1" si="210"/>
        <v>4.8099999999999419</v>
      </c>
      <c r="D485" s="306">
        <f t="shared" ca="1" si="211"/>
        <v>28.279250372285038</v>
      </c>
      <c r="E485" s="307">
        <f t="shared" ca="1" si="212"/>
        <v>62.505793501281516</v>
      </c>
      <c r="F485" s="304">
        <f t="shared" ca="1" si="213"/>
        <v>68.605322117480284</v>
      </c>
      <c r="G485" s="306">
        <f t="shared" ca="1" si="214"/>
        <v>132.84520425992221</v>
      </c>
      <c r="H485" s="307">
        <f t="shared" ca="1" si="215"/>
        <v>339.61410002037996</v>
      </c>
      <c r="I485" s="304">
        <f t="shared" ca="1" si="216"/>
        <v>364.67188708140515</v>
      </c>
      <c r="J485" s="306">
        <f t="shared" ca="1" si="217"/>
        <v>293.24485795108882</v>
      </c>
      <c r="K485" s="307">
        <f t="shared" ca="1" si="218"/>
        <v>800.19474840388386</v>
      </c>
      <c r="L485" s="304">
        <f t="shared" ca="1" si="203"/>
        <v>852.23481628475452</v>
      </c>
      <c r="M485" s="306">
        <f t="shared" ca="1" si="219"/>
        <v>1.1979293149597687</v>
      </c>
      <c r="N485" s="304">
        <f t="shared" ca="1" si="220"/>
        <v>68.636293902192662</v>
      </c>
      <c r="P485" s="310">
        <f t="shared" ca="1" si="221"/>
        <v>14</v>
      </c>
      <c r="Q485" s="304">
        <f t="shared" ca="1" si="222"/>
        <v>2248.8146115515328</v>
      </c>
      <c r="R485" s="306">
        <f t="shared" ca="1" si="223"/>
        <v>1.3523789457165361</v>
      </c>
      <c r="S485" s="307">
        <f t="shared" ca="1" si="224"/>
        <v>17.710811525777984</v>
      </c>
      <c r="T485" s="304">
        <f t="shared" ca="1" si="204"/>
        <v>173.74306106788202</v>
      </c>
      <c r="U485" s="311">
        <f t="shared" ca="1" si="205"/>
        <v>0</v>
      </c>
      <c r="V485" s="306">
        <f t="shared" ca="1" si="206"/>
        <v>1.1307471741345136</v>
      </c>
      <c r="W485" s="304">
        <f t="shared" ca="1" si="207"/>
        <v>876.59045610518308</v>
      </c>
      <c r="Y485" s="314" t="str">
        <f t="shared" ca="1" si="225"/>
        <v/>
      </c>
      <c r="Z485" s="315" t="str">
        <f t="shared" ca="1" si="226"/>
        <v/>
      </c>
      <c r="AA485" s="316" t="str">
        <f t="shared" ca="1" si="227"/>
        <v/>
      </c>
      <c r="AC485" s="310" t="e">
        <f t="shared" ca="1" si="228"/>
        <v>#N/A</v>
      </c>
      <c r="AD485" s="323" t="e">
        <f t="shared" ca="1" si="229"/>
        <v>#N/A</v>
      </c>
      <c r="AE485" s="324">
        <f t="shared" ca="1" si="208"/>
        <v>800.19474840388386</v>
      </c>
      <c r="AG485" s="306">
        <f t="shared" ca="1" si="230"/>
        <v>68.512229642280346</v>
      </c>
      <c r="AH485" s="304">
        <f t="shared" ca="1" si="231"/>
        <v>77.648502827410482</v>
      </c>
    </row>
    <row r="486" spans="1:34" x14ac:dyDescent="0.2">
      <c r="A486" s="347">
        <f t="shared" ca="1" si="209"/>
        <v>0.01</v>
      </c>
      <c r="B486" s="304">
        <f t="shared" ca="1" si="210"/>
        <v>4.8199999999999417</v>
      </c>
      <c r="D486" s="306">
        <f t="shared" ca="1" si="211"/>
        <v>28.232120542958963</v>
      </c>
      <c r="E486" s="307">
        <f t="shared" ca="1" si="212"/>
        <v>62.364424837378024</v>
      </c>
      <c r="F486" s="304">
        <f t="shared" ca="1" si="213"/>
        <v>68.457096897612729</v>
      </c>
      <c r="G486" s="306">
        <f t="shared" ca="1" si="214"/>
        <v>133.12752546535179</v>
      </c>
      <c r="H486" s="307">
        <f t="shared" ca="1" si="215"/>
        <v>340.23774426875377</v>
      </c>
      <c r="I486" s="304">
        <f t="shared" ca="1" si="216"/>
        <v>365.35552638713131</v>
      </c>
      <c r="J486" s="306">
        <f t="shared" ca="1" si="217"/>
        <v>294.57472159971519</v>
      </c>
      <c r="K486" s="307">
        <f t="shared" ca="1" si="218"/>
        <v>803.59400762532948</v>
      </c>
      <c r="L486" s="304">
        <f t="shared" ca="1" si="203"/>
        <v>855.88410179000743</v>
      </c>
      <c r="M486" s="306">
        <f t="shared" ca="1" si="219"/>
        <v>1.1978315018821977</v>
      </c>
      <c r="N486" s="304">
        <f t="shared" ca="1" si="220"/>
        <v>68.630689625666648</v>
      </c>
      <c r="P486" s="310">
        <f t="shared" ca="1" si="221"/>
        <v>14</v>
      </c>
      <c r="Q486" s="304">
        <f t="shared" ca="1" si="222"/>
        <v>2248.1248946772407</v>
      </c>
      <c r="R486" s="306">
        <f t="shared" ca="1" si="223"/>
        <v>1.3519641678266616</v>
      </c>
      <c r="S486" s="307">
        <f t="shared" ca="1" si="224"/>
        <v>17.697291884099716</v>
      </c>
      <c r="T486" s="304">
        <f t="shared" ca="1" si="204"/>
        <v>173.61043338301823</v>
      </c>
      <c r="U486" s="311">
        <f t="shared" ca="1" si="205"/>
        <v>0</v>
      </c>
      <c r="V486" s="306">
        <f t="shared" ca="1" si="206"/>
        <v>1.1303622504861222</v>
      </c>
      <c r="W486" s="304">
        <f t="shared" ca="1" si="207"/>
        <v>879.58064708587472</v>
      </c>
      <c r="Y486" s="314" t="str">
        <f t="shared" ca="1" si="225"/>
        <v/>
      </c>
      <c r="Z486" s="315" t="str">
        <f t="shared" ca="1" si="226"/>
        <v/>
      </c>
      <c r="AA486" s="316" t="str">
        <f t="shared" ca="1" si="227"/>
        <v/>
      </c>
      <c r="AC486" s="310" t="e">
        <f t="shared" ca="1" si="228"/>
        <v>#N/A</v>
      </c>
      <c r="AD486" s="323" t="e">
        <f t="shared" ca="1" si="229"/>
        <v>#N/A</v>
      </c>
      <c r="AE486" s="324">
        <f t="shared" ca="1" si="208"/>
        <v>803.59400762532948</v>
      </c>
      <c r="AG486" s="306">
        <f t="shared" ca="1" si="230"/>
        <v>68.363755797522543</v>
      </c>
      <c r="AH486" s="304">
        <f t="shared" ca="1" si="231"/>
        <v>77.499678908744485</v>
      </c>
    </row>
    <row r="487" spans="1:34" x14ac:dyDescent="0.2">
      <c r="A487" s="347">
        <f t="shared" ca="1" si="209"/>
        <v>0.01</v>
      </c>
      <c r="B487" s="304">
        <f t="shared" ca="1" si="210"/>
        <v>4.8299999999999415</v>
      </c>
      <c r="D487" s="306">
        <f t="shared" ca="1" si="211"/>
        <v>28.184937575326572</v>
      </c>
      <c r="E487" s="307">
        <f t="shared" ca="1" si="212"/>
        <v>62.223034111195602</v>
      </c>
      <c r="F487" s="304">
        <f t="shared" ca="1" si="213"/>
        <v>68.308833104716896</v>
      </c>
      <c r="G487" s="306">
        <f t="shared" ca="1" si="214"/>
        <v>133.40937484110506</v>
      </c>
      <c r="H487" s="307">
        <f t="shared" ca="1" si="215"/>
        <v>340.85997460986573</v>
      </c>
      <c r="I487" s="304">
        <f t="shared" ca="1" si="216"/>
        <v>366.03768055561272</v>
      </c>
      <c r="J487" s="306">
        <f t="shared" ca="1" si="217"/>
        <v>295.90740610124749</v>
      </c>
      <c r="K487" s="307">
        <f t="shared" ca="1" si="218"/>
        <v>806.99949621972257</v>
      </c>
      <c r="L487" s="304">
        <f t="shared" ca="1" si="203"/>
        <v>859.54021423343227</v>
      </c>
      <c r="M487" s="306">
        <f t="shared" ca="1" si="219"/>
        <v>1.197733846678106</v>
      </c>
      <c r="N487" s="304">
        <f t="shared" ca="1" si="220"/>
        <v>68.625094394624711</v>
      </c>
      <c r="P487" s="310">
        <f t="shared" ca="1" si="221"/>
        <v>14</v>
      </c>
      <c r="Q487" s="304">
        <f t="shared" ca="1" si="222"/>
        <v>2247.4351778029481</v>
      </c>
      <c r="R487" s="306">
        <f t="shared" ca="1" si="223"/>
        <v>1.351549389936787</v>
      </c>
      <c r="S487" s="307">
        <f t="shared" ca="1" si="224"/>
        <v>17.683776390200347</v>
      </c>
      <c r="T487" s="304">
        <f t="shared" ca="1" si="204"/>
        <v>173.47784638786541</v>
      </c>
      <c r="U487" s="311">
        <f t="shared" ca="1" si="205"/>
        <v>0</v>
      </c>
      <c r="V487" s="306">
        <f t="shared" ca="1" si="206"/>
        <v>1.1299767475556706</v>
      </c>
      <c r="W487" s="304">
        <f t="shared" ca="1" si="207"/>
        <v>882.56714128157</v>
      </c>
      <c r="Y487" s="314" t="str">
        <f t="shared" ca="1" si="225"/>
        <v/>
      </c>
      <c r="Z487" s="315" t="str">
        <f t="shared" ca="1" si="226"/>
        <v/>
      </c>
      <c r="AA487" s="316" t="str">
        <f t="shared" ca="1" si="227"/>
        <v/>
      </c>
      <c r="AC487" s="310" t="e">
        <f t="shared" ca="1" si="228"/>
        <v>#N/A</v>
      </c>
      <c r="AD487" s="323" t="e">
        <f t="shared" ca="1" si="229"/>
        <v>#N/A</v>
      </c>
      <c r="AE487" s="324">
        <f t="shared" ca="1" si="208"/>
        <v>806.99949621972257</v>
      </c>
      <c r="AG487" s="306">
        <f t="shared" ca="1" si="230"/>
        <v>68.215242311515766</v>
      </c>
      <c r="AH487" s="304">
        <f t="shared" ca="1" si="231"/>
        <v>77.35081582885681</v>
      </c>
    </row>
    <row r="488" spans="1:34" x14ac:dyDescent="0.2">
      <c r="A488" s="347">
        <f t="shared" ca="1" si="209"/>
        <v>0.01</v>
      </c>
      <c r="B488" s="304">
        <f t="shared" ca="1" si="210"/>
        <v>4.8399999999999412</v>
      </c>
      <c r="D488" s="306">
        <f t="shared" ca="1" si="211"/>
        <v>28.137702516540752</v>
      </c>
      <c r="E488" s="307">
        <f t="shared" ca="1" si="212"/>
        <v>62.081623634330441</v>
      </c>
      <c r="F488" s="304">
        <f t="shared" ca="1" si="213"/>
        <v>68.160533272444397</v>
      </c>
      <c r="G488" s="306">
        <f t="shared" ca="1" si="214"/>
        <v>133.69075186627046</v>
      </c>
      <c r="H488" s="307">
        <f t="shared" ca="1" si="215"/>
        <v>341.48079084620906</v>
      </c>
      <c r="I488" s="304">
        <f t="shared" ca="1" si="216"/>
        <v>366.71834921574498</v>
      </c>
      <c r="J488" s="306">
        <f t="shared" ca="1" si="217"/>
        <v>297.24290673478436</v>
      </c>
      <c r="K488" s="307">
        <f t="shared" ca="1" si="218"/>
        <v>810.41120004700292</v>
      </c>
      <c r="L488" s="304">
        <f t="shared" ca="1" si="203"/>
        <v>863.20313876037721</v>
      </c>
      <c r="M488" s="306">
        <f t="shared" ca="1" si="219"/>
        <v>1.1976363484054704</v>
      </c>
      <c r="N488" s="304">
        <f t="shared" ca="1" si="220"/>
        <v>68.619508155092873</v>
      </c>
      <c r="P488" s="310">
        <f t="shared" ca="1" si="221"/>
        <v>14</v>
      </c>
      <c r="Q488" s="304">
        <f t="shared" ca="1" si="222"/>
        <v>2246.745460928656</v>
      </c>
      <c r="R488" s="306">
        <f t="shared" ca="1" si="223"/>
        <v>1.3511346120469125</v>
      </c>
      <c r="S488" s="307">
        <f t="shared" ca="1" si="224"/>
        <v>17.670265044079876</v>
      </c>
      <c r="T488" s="304">
        <f t="shared" ca="1" si="204"/>
        <v>173.34530008242359</v>
      </c>
      <c r="U488" s="311">
        <f t="shared" ca="1" si="205"/>
        <v>0</v>
      </c>
      <c r="V488" s="306">
        <f t="shared" ca="1" si="206"/>
        <v>1.12959066757361</v>
      </c>
      <c r="W488" s="304">
        <f t="shared" ca="1" si="207"/>
        <v>885.54989459577951</v>
      </c>
      <c r="Y488" s="314" t="str">
        <f t="shared" ca="1" si="225"/>
        <v/>
      </c>
      <c r="Z488" s="315" t="str">
        <f t="shared" ca="1" si="226"/>
        <v/>
      </c>
      <c r="AA488" s="316" t="str">
        <f t="shared" ca="1" si="227"/>
        <v/>
      </c>
      <c r="AC488" s="310" t="e">
        <f t="shared" ca="1" si="228"/>
        <v>#N/A</v>
      </c>
      <c r="AD488" s="323" t="e">
        <f t="shared" ca="1" si="229"/>
        <v>#N/A</v>
      </c>
      <c r="AE488" s="324">
        <f t="shared" ca="1" si="208"/>
        <v>810.41120004700292</v>
      </c>
      <c r="AG488" s="306">
        <f t="shared" ca="1" si="230"/>
        <v>68.066691713582827</v>
      </c>
      <c r="AH488" s="304">
        <f t="shared" ca="1" si="231"/>
        <v>77.201916114106666</v>
      </c>
    </row>
    <row r="489" spans="1:34" x14ac:dyDescent="0.2">
      <c r="A489" s="347">
        <f t="shared" ca="1" si="209"/>
        <v>0.01</v>
      </c>
      <c r="B489" s="304">
        <f t="shared" ca="1" si="210"/>
        <v>4.849999999999941</v>
      </c>
      <c r="D489" s="306">
        <f t="shared" ca="1" si="211"/>
        <v>28.090416410714386</v>
      </c>
      <c r="E489" s="307">
        <f t="shared" ca="1" si="212"/>
        <v>61.940195710808752</v>
      </c>
      <c r="F489" s="304">
        <f t="shared" ca="1" si="213"/>
        <v>68.012199926341324</v>
      </c>
      <c r="G489" s="306">
        <f t="shared" ca="1" si="214"/>
        <v>133.9716560303776</v>
      </c>
      <c r="H489" s="307">
        <f t="shared" ca="1" si="215"/>
        <v>342.10019280331716</v>
      </c>
      <c r="I489" s="304">
        <f t="shared" ca="1" si="216"/>
        <v>367.39753202163536</v>
      </c>
      <c r="J489" s="306">
        <f t="shared" ca="1" si="217"/>
        <v>298.5812187742676</v>
      </c>
      <c r="K489" s="307">
        <f t="shared" ca="1" si="218"/>
        <v>813.82910496525051</v>
      </c>
      <c r="L489" s="304">
        <f t="shared" ca="1" si="203"/>
        <v>866.87286051258275</v>
      </c>
      <c r="M489" s="306">
        <f t="shared" ca="1" si="219"/>
        <v>1.1975390061290774</v>
      </c>
      <c r="N489" s="304">
        <f t="shared" ca="1" si="220"/>
        <v>68.613930853487361</v>
      </c>
      <c r="P489" s="310">
        <f t="shared" ca="1" si="221"/>
        <v>14</v>
      </c>
      <c r="Q489" s="304">
        <f t="shared" ca="1" si="222"/>
        <v>2246.0557440543639</v>
      </c>
      <c r="R489" s="306">
        <f t="shared" ca="1" si="223"/>
        <v>1.3507198341570381</v>
      </c>
      <c r="S489" s="307">
        <f t="shared" ca="1" si="224"/>
        <v>17.656757845738305</v>
      </c>
      <c r="T489" s="304">
        <f t="shared" ca="1" si="204"/>
        <v>173.21279446669277</v>
      </c>
      <c r="U489" s="311">
        <f t="shared" ca="1" si="205"/>
        <v>0</v>
      </c>
      <c r="V489" s="306">
        <f t="shared" ca="1" si="206"/>
        <v>1.1292040127691252</v>
      </c>
      <c r="W489" s="304">
        <f t="shared" ca="1" si="207"/>
        <v>888.52886321308392</v>
      </c>
      <c r="Y489" s="314" t="str">
        <f t="shared" ca="1" si="225"/>
        <v/>
      </c>
      <c r="Z489" s="315" t="str">
        <f t="shared" ca="1" si="226"/>
        <v/>
      </c>
      <c r="AA489" s="316" t="str">
        <f t="shared" ca="1" si="227"/>
        <v/>
      </c>
      <c r="AC489" s="310" t="e">
        <f t="shared" ca="1" si="228"/>
        <v>#N/A</v>
      </c>
      <c r="AD489" s="323" t="e">
        <f t="shared" ca="1" si="229"/>
        <v>#N/A</v>
      </c>
      <c r="AE489" s="324">
        <f t="shared" ca="1" si="208"/>
        <v>813.82910496525051</v>
      </c>
      <c r="AG489" s="306">
        <f t="shared" ca="1" si="230"/>
        <v>67.918106524928703</v>
      </c>
      <c r="AH489" s="304">
        <f t="shared" ca="1" si="231"/>
        <v>77.052982282755877</v>
      </c>
    </row>
    <row r="490" spans="1:34" x14ac:dyDescent="0.2">
      <c r="A490" s="347">
        <f t="shared" ca="1" si="209"/>
        <v>0.01</v>
      </c>
      <c r="B490" s="304">
        <f t="shared" ca="1" si="210"/>
        <v>4.8599999999999408</v>
      </c>
      <c r="D490" s="306">
        <f t="shared" ca="1" si="211"/>
        <v>28.043080298895742</v>
      </c>
      <c r="E490" s="307">
        <f t="shared" ca="1" si="212"/>
        <v>61.798752637019248</v>
      </c>
      <c r="F490" s="304">
        <f t="shared" ca="1" si="213"/>
        <v>67.863835583776194</v>
      </c>
      <c r="G490" s="306">
        <f t="shared" ca="1" si="214"/>
        <v>134.25208683336655</v>
      </c>
      <c r="H490" s="307">
        <f t="shared" ca="1" si="215"/>
        <v>342.71818032968736</v>
      </c>
      <c r="I490" s="304">
        <f t="shared" ca="1" si="216"/>
        <v>368.07522865252139</v>
      </c>
      <c r="J490" s="306">
        <f t="shared" ca="1" si="217"/>
        <v>299.92233748858632</v>
      </c>
      <c r="K490" s="307">
        <f t="shared" ca="1" si="218"/>
        <v>817.2531968309155</v>
      </c>
      <c r="L490" s="304">
        <f t="shared" ca="1" si="203"/>
        <v>870.54936462843307</v>
      </c>
      <c r="M490" s="306">
        <f t="shared" ca="1" si="219"/>
        <v>1.1974418189204585</v>
      </c>
      <c r="N490" s="304">
        <f t="shared" ca="1" si="220"/>
        <v>68.608362436610847</v>
      </c>
      <c r="P490" s="310">
        <f t="shared" ca="1" si="221"/>
        <v>14</v>
      </c>
      <c r="Q490" s="304">
        <f t="shared" ca="1" si="222"/>
        <v>2245.3660271800718</v>
      </c>
      <c r="R490" s="306">
        <f t="shared" ca="1" si="223"/>
        <v>1.3503050562671637</v>
      </c>
      <c r="S490" s="307">
        <f t="shared" ca="1" si="224"/>
        <v>17.643254795175633</v>
      </c>
      <c r="T490" s="304">
        <f t="shared" ca="1" si="204"/>
        <v>173.08032954067298</v>
      </c>
      <c r="U490" s="311">
        <f t="shared" ca="1" si="205"/>
        <v>0</v>
      </c>
      <c r="V490" s="306">
        <f t="shared" ca="1" si="206"/>
        <v>1.1288167853701008</v>
      </c>
      <c r="W490" s="304">
        <f t="shared" ca="1" si="207"/>
        <v>891.50400359974776</v>
      </c>
      <c r="Y490" s="314" t="str">
        <f t="shared" ca="1" si="225"/>
        <v/>
      </c>
      <c r="Z490" s="315" t="str">
        <f t="shared" ca="1" si="226"/>
        <v/>
      </c>
      <c r="AA490" s="316" t="str">
        <f t="shared" ca="1" si="227"/>
        <v/>
      </c>
      <c r="AC490" s="310" t="e">
        <f t="shared" ca="1" si="228"/>
        <v>#N/A</v>
      </c>
      <c r="AD490" s="323" t="e">
        <f t="shared" ca="1" si="229"/>
        <v>#N/A</v>
      </c>
      <c r="AE490" s="324">
        <f t="shared" ca="1" si="208"/>
        <v>817.2531968309155</v>
      </c>
      <c r="AG490" s="306">
        <f t="shared" ca="1" si="230"/>
        <v>67.769489258568257</v>
      </c>
      <c r="AH490" s="304">
        <f t="shared" ca="1" si="231"/>
        <v>76.904016844896503</v>
      </c>
    </row>
    <row r="491" spans="1:34" x14ac:dyDescent="0.2">
      <c r="A491" s="347">
        <f t="shared" ca="1" si="209"/>
        <v>0.01</v>
      </c>
      <c r="B491" s="304">
        <f t="shared" ca="1" si="210"/>
        <v>4.8699999999999406</v>
      </c>
      <c r="D491" s="306">
        <f t="shared" ca="1" si="211"/>
        <v>27.99569521904408</v>
      </c>
      <c r="E491" s="307">
        <f t="shared" ca="1" si="212"/>
        <v>61.657296701645748</v>
      </c>
      <c r="F491" s="304">
        <f t="shared" ca="1" si="213"/>
        <v>67.715442753868061</v>
      </c>
      <c r="G491" s="306">
        <f t="shared" ca="1" si="214"/>
        <v>134.53204378555699</v>
      </c>
      <c r="H491" s="307">
        <f t="shared" ca="1" si="215"/>
        <v>343.33475329670381</v>
      </c>
      <c r="I491" s="304">
        <f t="shared" ca="1" si="216"/>
        <v>368.75143881268787</v>
      </c>
      <c r="J491" s="306">
        <f t="shared" ca="1" si="217"/>
        <v>301.26625814168096</v>
      </c>
      <c r="K491" s="307">
        <f t="shared" ca="1" si="218"/>
        <v>820.68346149904744</v>
      </c>
      <c r="L491" s="304">
        <f t="shared" ca="1" si="203"/>
        <v>874.23263624320748</v>
      </c>
      <c r="M491" s="306">
        <f t="shared" ca="1" si="219"/>
        <v>1.1973447858578268</v>
      </c>
      <c r="N491" s="304">
        <f t="shared" ca="1" si="220"/>
        <v>68.602802851648818</v>
      </c>
      <c r="P491" s="310">
        <f t="shared" ca="1" si="221"/>
        <v>14</v>
      </c>
      <c r="Q491" s="304">
        <f t="shared" ca="1" si="222"/>
        <v>2244.6763103057797</v>
      </c>
      <c r="R491" s="306">
        <f t="shared" ca="1" si="223"/>
        <v>1.3498902783772893</v>
      </c>
      <c r="S491" s="307">
        <f t="shared" ca="1" si="224"/>
        <v>17.629755892391859</v>
      </c>
      <c r="T491" s="304">
        <f t="shared" ca="1" si="204"/>
        <v>172.94790530436416</v>
      </c>
      <c r="U491" s="311">
        <f t="shared" ca="1" si="205"/>
        <v>0</v>
      </c>
      <c r="V491" s="306">
        <f t="shared" ca="1" si="206"/>
        <v>1.1284289876030851</v>
      </c>
      <c r="W491" s="304">
        <f t="shared" ca="1" si="207"/>
        <v>894.47527250430676</v>
      </c>
      <c r="Y491" s="314" t="str">
        <f t="shared" ca="1" si="225"/>
        <v/>
      </c>
      <c r="Z491" s="315" t="str">
        <f t="shared" ca="1" si="226"/>
        <v/>
      </c>
      <c r="AA491" s="316" t="str">
        <f t="shared" ca="1" si="227"/>
        <v/>
      </c>
      <c r="AC491" s="310" t="e">
        <f t="shared" ca="1" si="228"/>
        <v>#N/A</v>
      </c>
      <c r="AD491" s="323" t="e">
        <f t="shared" ca="1" si="229"/>
        <v>#N/A</v>
      </c>
      <c r="AE491" s="324">
        <f t="shared" ca="1" si="208"/>
        <v>820.68346149904744</v>
      </c>
      <c r="AG491" s="306">
        <f t="shared" ca="1" si="230"/>
        <v>67.620842419254558</v>
      </c>
      <c r="AH491" s="304">
        <f t="shared" ca="1" si="231"/>
        <v>76.755022302378848</v>
      </c>
    </row>
    <row r="492" spans="1:34" x14ac:dyDescent="0.2">
      <c r="A492" s="347">
        <f t="shared" ca="1" si="209"/>
        <v>0.01</v>
      </c>
      <c r="B492" s="304">
        <f t="shared" ca="1" si="210"/>
        <v>4.8799999999999404</v>
      </c>
      <c r="D492" s="306">
        <f t="shared" ca="1" si="211"/>
        <v>27.948262206005495</v>
      </c>
      <c r="E492" s="307">
        <f t="shared" ca="1" si="212"/>
        <v>61.515830185601075</v>
      </c>
      <c r="F492" s="304">
        <f t="shared" ca="1" si="213"/>
        <v>67.567023937415968</v>
      </c>
      <c r="G492" s="306">
        <f t="shared" ca="1" si="214"/>
        <v>134.81152640761704</v>
      </c>
      <c r="H492" s="307">
        <f t="shared" ca="1" si="215"/>
        <v>343.94991159855982</v>
      </c>
      <c r="I492" s="304">
        <f t="shared" ca="1" si="216"/>
        <v>369.42616223138384</v>
      </c>
      <c r="J492" s="306">
        <f t="shared" ca="1" si="217"/>
        <v>302.61297599264685</v>
      </c>
      <c r="K492" s="307">
        <f t="shared" ca="1" si="218"/>
        <v>824.11988482352376</v>
      </c>
      <c r="L492" s="304">
        <f t="shared" ca="1" si="203"/>
        <v>877.9226604893305</v>
      </c>
      <c r="M492" s="306">
        <f t="shared" ca="1" si="219"/>
        <v>1.1972479060260155</v>
      </c>
      <c r="N492" s="304">
        <f t="shared" ca="1" si="220"/>
        <v>68.597252046166091</v>
      </c>
      <c r="P492" s="310">
        <f t="shared" ca="1" si="221"/>
        <v>14</v>
      </c>
      <c r="Q492" s="304">
        <f t="shared" ca="1" si="222"/>
        <v>2243.9865934314876</v>
      </c>
      <c r="R492" s="306">
        <f t="shared" ca="1" si="223"/>
        <v>1.3494755004874148</v>
      </c>
      <c r="S492" s="307">
        <f t="shared" ca="1" si="224"/>
        <v>17.616261137386985</v>
      </c>
      <c r="T492" s="304">
        <f t="shared" ca="1" si="204"/>
        <v>172.81552175776633</v>
      </c>
      <c r="U492" s="311">
        <f t="shared" ca="1" si="205"/>
        <v>0</v>
      </c>
      <c r="V492" s="306">
        <f t="shared" ca="1" si="206"/>
        <v>1.1280406216932541</v>
      </c>
      <c r="W492" s="304">
        <f t="shared" ca="1" si="207"/>
        <v>897.442626958137</v>
      </c>
      <c r="Y492" s="314" t="str">
        <f t="shared" ca="1" si="225"/>
        <v/>
      </c>
      <c r="Z492" s="315" t="str">
        <f t="shared" ca="1" si="226"/>
        <v/>
      </c>
      <c r="AA492" s="316" t="str">
        <f t="shared" ca="1" si="227"/>
        <v/>
      </c>
      <c r="AC492" s="310" t="e">
        <f t="shared" ca="1" si="228"/>
        <v>#N/A</v>
      </c>
      <c r="AD492" s="323" t="e">
        <f t="shared" ca="1" si="229"/>
        <v>#N/A</v>
      </c>
      <c r="AE492" s="324">
        <f t="shared" ca="1" si="208"/>
        <v>824.11988482352376</v>
      </c>
      <c r="AG492" s="306">
        <f t="shared" ca="1" si="230"/>
        <v>67.472168503408028</v>
      </c>
      <c r="AH492" s="304">
        <f t="shared" ca="1" si="231"/>
        <v>76.606001148740546</v>
      </c>
    </row>
    <row r="493" spans="1:34" x14ac:dyDescent="0.2">
      <c r="A493" s="347">
        <f t="shared" ca="1" si="209"/>
        <v>0.01</v>
      </c>
      <c r="B493" s="304">
        <f t="shared" ca="1" si="210"/>
        <v>4.8899999999999402</v>
      </c>
      <c r="D493" s="306">
        <f t="shared" ca="1" si="211"/>
        <v>27.900782291488948</v>
      </c>
      <c r="E493" s="307">
        <f t="shared" ca="1" si="212"/>
        <v>61.374355361961634</v>
      </c>
      <c r="F493" s="304">
        <f t="shared" ca="1" si="213"/>
        <v>67.418581626829052</v>
      </c>
      <c r="G493" s="306">
        <f t="shared" ca="1" si="214"/>
        <v>135.09053423053192</v>
      </c>
      <c r="H493" s="307">
        <f t="shared" ca="1" si="215"/>
        <v>344.56365515217942</v>
      </c>
      <c r="I493" s="304">
        <f t="shared" ca="1" si="216"/>
        <v>370.09939866273834</v>
      </c>
      <c r="J493" s="306">
        <f t="shared" ca="1" si="217"/>
        <v>303.96248629583761</v>
      </c>
      <c r="K493" s="307">
        <f t="shared" ca="1" si="218"/>
        <v>827.5624526572775</v>
      </c>
      <c r="L493" s="304">
        <f t="shared" ca="1" si="203"/>
        <v>881.61942249662116</v>
      </c>
      <c r="M493" s="306">
        <f t="shared" ca="1" si="219"/>
        <v>1.1971511785164151</v>
      </c>
      <c r="N493" s="304">
        <f t="shared" ca="1" si="220"/>
        <v>68.591709968103174</v>
      </c>
      <c r="P493" s="310">
        <f t="shared" ca="1" si="221"/>
        <v>14</v>
      </c>
      <c r="Q493" s="304">
        <f t="shared" ca="1" si="222"/>
        <v>2243.2968765571954</v>
      </c>
      <c r="R493" s="306">
        <f t="shared" ca="1" si="223"/>
        <v>1.3490607225975404</v>
      </c>
      <c r="S493" s="307">
        <f t="shared" ca="1" si="224"/>
        <v>17.60277053016101</v>
      </c>
      <c r="T493" s="304">
        <f t="shared" ca="1" si="204"/>
        <v>172.68317890087951</v>
      </c>
      <c r="U493" s="311">
        <f t="shared" ca="1" si="205"/>
        <v>0</v>
      </c>
      <c r="V493" s="306">
        <f t="shared" ca="1" si="206"/>
        <v>1.1276516898643771</v>
      </c>
      <c r="W493" s="304">
        <f t="shared" ca="1" si="207"/>
        <v>900.40602427600481</v>
      </c>
      <c r="Y493" s="314" t="str">
        <f t="shared" ca="1" si="225"/>
        <v/>
      </c>
      <c r="Z493" s="315" t="str">
        <f t="shared" ca="1" si="226"/>
        <v/>
      </c>
      <c r="AA493" s="316" t="str">
        <f t="shared" ca="1" si="227"/>
        <v/>
      </c>
      <c r="AC493" s="310" t="e">
        <f t="shared" ca="1" si="228"/>
        <v>#N/A</v>
      </c>
      <c r="AD493" s="323" t="e">
        <f t="shared" ca="1" si="229"/>
        <v>#N/A</v>
      </c>
      <c r="AE493" s="324">
        <f t="shared" ca="1" si="208"/>
        <v>827.5624526572775</v>
      </c>
      <c r="AG493" s="306">
        <f t="shared" ca="1" si="230"/>
        <v>67.323469999046722</v>
      </c>
      <c r="AH493" s="304">
        <f t="shared" ca="1" si="231"/>
        <v>76.456955869136593</v>
      </c>
    </row>
    <row r="494" spans="1:34" x14ac:dyDescent="0.2">
      <c r="A494" s="347">
        <f t="shared" ca="1" si="209"/>
        <v>0.01</v>
      </c>
      <c r="B494" s="304">
        <f t="shared" ca="1" si="210"/>
        <v>4.89999999999994</v>
      </c>
      <c r="D494" s="306">
        <f t="shared" ca="1" si="211"/>
        <v>27.853256504042594</v>
      </c>
      <c r="E494" s="307">
        <f t="shared" ca="1" si="212"/>
        <v>61.23287449590272</v>
      </c>
      <c r="F494" s="304">
        <f t="shared" ca="1" si="213"/>
        <v>67.270118306057441</v>
      </c>
      <c r="G494" s="306">
        <f t="shared" ca="1" si="214"/>
        <v>135.36906679557234</v>
      </c>
      <c r="H494" s="307">
        <f t="shared" ca="1" si="215"/>
        <v>345.17598389713845</v>
      </c>
      <c r="I494" s="304">
        <f t="shared" ca="1" si="216"/>
        <v>370.77114788567587</v>
      </c>
      <c r="J494" s="306">
        <f t="shared" ca="1" si="217"/>
        <v>305.31478430096814</v>
      </c>
      <c r="K494" s="307">
        <f t="shared" ca="1" si="218"/>
        <v>831.01115085252411</v>
      </c>
      <c r="L494" s="304">
        <f t="shared" ca="1" si="203"/>
        <v>885.32290739254188</v>
      </c>
      <c r="M494" s="306">
        <f t="shared" ca="1" si="219"/>
        <v>1.1970546024269129</v>
      </c>
      <c r="N494" s="304">
        <f t="shared" ca="1" si="220"/>
        <v>68.586176565772817</v>
      </c>
      <c r="P494" s="310">
        <f t="shared" ca="1" si="221"/>
        <v>14</v>
      </c>
      <c r="Q494" s="304">
        <f t="shared" ca="1" si="222"/>
        <v>2242.6071596829033</v>
      </c>
      <c r="R494" s="306">
        <f t="shared" ca="1" si="223"/>
        <v>1.348645944707666</v>
      </c>
      <c r="S494" s="307">
        <f t="shared" ca="1" si="224"/>
        <v>17.589284070713934</v>
      </c>
      <c r="T494" s="304">
        <f t="shared" ca="1" si="204"/>
        <v>172.55087673370369</v>
      </c>
      <c r="U494" s="311">
        <f t="shared" ca="1" si="205"/>
        <v>0</v>
      </c>
      <c r="V494" s="306">
        <f t="shared" ca="1" si="206"/>
        <v>1.1272621943387826</v>
      </c>
      <c r="W494" s="304">
        <f t="shared" ca="1" si="207"/>
        <v>903.36542205659521</v>
      </c>
      <c r="Y494" s="314" t="str">
        <f t="shared" ca="1" si="225"/>
        <v/>
      </c>
      <c r="Z494" s="315" t="str">
        <f t="shared" ca="1" si="226"/>
        <v/>
      </c>
      <c r="AA494" s="316" t="str">
        <f t="shared" ca="1" si="227"/>
        <v/>
      </c>
      <c r="AC494" s="310" t="e">
        <f t="shared" ca="1" si="228"/>
        <v>#N/A</v>
      </c>
      <c r="AD494" s="323" t="e">
        <f t="shared" ca="1" si="229"/>
        <v>#N/A</v>
      </c>
      <c r="AE494" s="324">
        <f t="shared" ca="1" si="208"/>
        <v>831.01115085252411</v>
      </c>
      <c r="AG494" s="306">
        <f t="shared" ca="1" si="230"/>
        <v>67.174749385717121</v>
      </c>
      <c r="AH494" s="304">
        <f t="shared" ca="1" si="231"/>
        <v>76.307888940269976</v>
      </c>
    </row>
    <row r="495" spans="1:34" x14ac:dyDescent="0.2">
      <c r="A495" s="347">
        <f t="shared" ca="1" si="209"/>
        <v>0.01</v>
      </c>
      <c r="B495" s="304">
        <f t="shared" ca="1" si="210"/>
        <v>4.9099999999999397</v>
      </c>
      <c r="D495" s="306">
        <f t="shared" ca="1" si="211"/>
        <v>27.805685869030256</v>
      </c>
      <c r="E495" s="307">
        <f t="shared" ca="1" si="212"/>
        <v>61.091389844634747</v>
      </c>
      <c r="F495" s="304">
        <f t="shared" ca="1" si="213"/>
        <v>67.121636450524136</v>
      </c>
      <c r="G495" s="306">
        <f t="shared" ca="1" si="214"/>
        <v>135.64712365426263</v>
      </c>
      <c r="H495" s="307">
        <f t="shared" ca="1" si="215"/>
        <v>345.78689779558482</v>
      </c>
      <c r="I495" s="304">
        <f t="shared" ca="1" si="216"/>
        <v>371.44140970383074</v>
      </c>
      <c r="J495" s="306">
        <f t="shared" ca="1" si="217"/>
        <v>306.66986525321732</v>
      </c>
      <c r="K495" s="307">
        <f t="shared" ca="1" si="218"/>
        <v>834.46596526098767</v>
      </c>
      <c r="L495" s="304">
        <f t="shared" ca="1" si="203"/>
        <v>889.03310030244563</v>
      </c>
      <c r="M495" s="306">
        <f t="shared" ca="1" si="219"/>
        <v>1.1969581768618327</v>
      </c>
      <c r="N495" s="304">
        <f t="shared" ca="1" si="220"/>
        <v>68.580651787856567</v>
      </c>
      <c r="P495" s="310">
        <f t="shared" ca="1" si="221"/>
        <v>14</v>
      </c>
      <c r="Q495" s="304">
        <f t="shared" ca="1" si="222"/>
        <v>2241.9174428086108</v>
      </c>
      <c r="R495" s="306">
        <f t="shared" ca="1" si="223"/>
        <v>1.3482311668177913</v>
      </c>
      <c r="S495" s="307">
        <f t="shared" ca="1" si="224"/>
        <v>17.575801759045756</v>
      </c>
      <c r="T495" s="304">
        <f t="shared" ca="1" si="204"/>
        <v>172.41861525623887</v>
      </c>
      <c r="U495" s="311">
        <f t="shared" ca="1" si="205"/>
        <v>0</v>
      </c>
      <c r="V495" s="306">
        <f t="shared" ca="1" si="206"/>
        <v>1.1268721373373196</v>
      </c>
      <c r="W495" s="304">
        <f t="shared" ca="1" si="207"/>
        <v>906.32077818301786</v>
      </c>
      <c r="Y495" s="314" t="str">
        <f t="shared" ca="1" si="225"/>
        <v/>
      </c>
      <c r="Z495" s="315" t="str">
        <f t="shared" ca="1" si="226"/>
        <v/>
      </c>
      <c r="AA495" s="316" t="str">
        <f t="shared" ca="1" si="227"/>
        <v/>
      </c>
      <c r="AC495" s="310" t="e">
        <f t="shared" ca="1" si="228"/>
        <v>#N/A</v>
      </c>
      <c r="AD495" s="323" t="e">
        <f t="shared" ca="1" si="229"/>
        <v>#N/A</v>
      </c>
      <c r="AE495" s="324">
        <f t="shared" ca="1" si="208"/>
        <v>834.46596526098767</v>
      </c>
      <c r="AG495" s="306">
        <f t="shared" ca="1" si="230"/>
        <v>67.026009134425962</v>
      </c>
      <c r="AH495" s="304">
        <f t="shared" ca="1" si="231"/>
        <v>76.158802830323324</v>
      </c>
    </row>
    <row r="496" spans="1:34" x14ac:dyDescent="0.2">
      <c r="A496" s="347">
        <f t="shared" ca="1" si="209"/>
        <v>0.01</v>
      </c>
      <c r="B496" s="304">
        <f t="shared" ca="1" si="210"/>
        <v>4.9199999999999395</v>
      </c>
      <c r="D496" s="306">
        <f t="shared" ca="1" si="211"/>
        <v>27.758071408608309</v>
      </c>
      <c r="E496" s="307">
        <f t="shared" ca="1" si="212"/>
        <v>60.949903657340556</v>
      </c>
      <c r="F496" s="304">
        <f t="shared" ca="1" si="213"/>
        <v>66.973138527057941</v>
      </c>
      <c r="G496" s="306">
        <f t="shared" ca="1" si="214"/>
        <v>135.9247043683487</v>
      </c>
      <c r="H496" s="307">
        <f t="shared" ca="1" si="215"/>
        <v>346.39639683215825</v>
      </c>
      <c r="I496" s="304">
        <f t="shared" ca="1" si="216"/>
        <v>372.1101839454613</v>
      </c>
      <c r="J496" s="306">
        <f t="shared" ca="1" si="217"/>
        <v>308.0277243933304</v>
      </c>
      <c r="K496" s="307">
        <f t="shared" ca="1" si="218"/>
        <v>837.92688173412637</v>
      </c>
      <c r="L496" s="304">
        <f t="shared" ca="1" si="203"/>
        <v>892.74998634982353</v>
      </c>
      <c r="M496" s="306">
        <f t="shared" ca="1" si="219"/>
        <v>1.1968619009318748</v>
      </c>
      <c r="N496" s="304">
        <f t="shared" ca="1" si="220"/>
        <v>68.575135583401277</v>
      </c>
      <c r="P496" s="310">
        <f t="shared" ca="1" si="221"/>
        <v>14</v>
      </c>
      <c r="Q496" s="304">
        <f t="shared" ca="1" si="222"/>
        <v>2241.2277259343186</v>
      </c>
      <c r="R496" s="306">
        <f t="shared" ca="1" si="223"/>
        <v>1.3478163889279169</v>
      </c>
      <c r="S496" s="307">
        <f t="shared" ca="1" si="224"/>
        <v>17.562323595156478</v>
      </c>
      <c r="T496" s="304">
        <f t="shared" ca="1" si="204"/>
        <v>172.28639446848507</v>
      </c>
      <c r="U496" s="311">
        <f t="shared" ca="1" si="205"/>
        <v>0</v>
      </c>
      <c r="V496" s="306">
        <f t="shared" ca="1" si="206"/>
        <v>1.1264815210793291</v>
      </c>
      <c r="W496" s="304">
        <f t="shared" ca="1" si="207"/>
        <v>909.27205082330033</v>
      </c>
      <c r="Y496" s="314" t="str">
        <f t="shared" ca="1" si="225"/>
        <v/>
      </c>
      <c r="Z496" s="315" t="str">
        <f t="shared" ca="1" si="226"/>
        <v/>
      </c>
      <c r="AA496" s="316" t="str">
        <f t="shared" ca="1" si="227"/>
        <v/>
      </c>
      <c r="AC496" s="310" t="e">
        <f t="shared" ca="1" si="228"/>
        <v>#N/A</v>
      </c>
      <c r="AD496" s="323" t="e">
        <f t="shared" ca="1" si="229"/>
        <v>#N/A</v>
      </c>
      <c r="AE496" s="324">
        <f t="shared" ca="1" si="208"/>
        <v>837.92688173412637</v>
      </c>
      <c r="AG496" s="306">
        <f t="shared" ca="1" si="230"/>
        <v>66.87725170757318</v>
      </c>
      <c r="AH496" s="304">
        <f t="shared" ca="1" si="231"/>
        <v>76.009699998891691</v>
      </c>
    </row>
    <row r="497" spans="1:34" x14ac:dyDescent="0.2">
      <c r="A497" s="347">
        <f t="shared" ca="1" si="209"/>
        <v>0.01</v>
      </c>
      <c r="B497" s="304">
        <f t="shared" ca="1" si="210"/>
        <v>4.9299999999999393</v>
      </c>
      <c r="D497" s="306">
        <f t="shared" ca="1" si="211"/>
        <v>27.71041414170254</v>
      </c>
      <c r="E497" s="307">
        <f t="shared" ca="1" si="212"/>
        <v>60.808418175112877</v>
      </c>
      <c r="F497" s="304">
        <f t="shared" ca="1" si="213"/>
        <v>66.824626993826655</v>
      </c>
      <c r="G497" s="306">
        <f t="shared" ca="1" si="214"/>
        <v>136.20180850976573</v>
      </c>
      <c r="H497" s="307">
        <f t="shared" ca="1" si="215"/>
        <v>347.00448101390936</v>
      </c>
      <c r="I497" s="304">
        <f t="shared" ca="1" si="216"/>
        <v>372.77747046336304</v>
      </c>
      <c r="J497" s="306">
        <f t="shared" ca="1" si="217"/>
        <v>309.38835695772099</v>
      </c>
      <c r="K497" s="307">
        <f t="shared" ca="1" si="218"/>
        <v>841.39388612335665</v>
      </c>
      <c r="L497" s="304">
        <f t="shared" ca="1" si="203"/>
        <v>896.47355065655017</v>
      </c>
      <c r="M497" s="306">
        <f t="shared" ca="1" si="219"/>
        <v>1.1967657737540578</v>
      </c>
      <c r="N497" s="304">
        <f t="shared" ca="1" si="220"/>
        <v>68.569627901815863</v>
      </c>
      <c r="P497" s="310">
        <f t="shared" ca="1" si="221"/>
        <v>14</v>
      </c>
      <c r="Q497" s="304">
        <f t="shared" ca="1" si="222"/>
        <v>2240.5380090600265</v>
      </c>
      <c r="R497" s="306">
        <f t="shared" ca="1" si="223"/>
        <v>1.3474016110380427</v>
      </c>
      <c r="S497" s="307">
        <f t="shared" ca="1" si="224"/>
        <v>17.548849579046099</v>
      </c>
      <c r="T497" s="304">
        <f t="shared" ca="1" si="204"/>
        <v>172.15421437044225</v>
      </c>
      <c r="U497" s="311">
        <f t="shared" ca="1" si="205"/>
        <v>0</v>
      </c>
      <c r="V497" s="306">
        <f t="shared" ca="1" si="206"/>
        <v>1.1260903477826039</v>
      </c>
      <c r="W497" s="304">
        <f t="shared" ca="1" si="207"/>
        <v>912.21919843085118</v>
      </c>
      <c r="Y497" s="314" t="str">
        <f t="shared" ca="1" si="225"/>
        <v/>
      </c>
      <c r="Z497" s="315" t="str">
        <f t="shared" ca="1" si="226"/>
        <v/>
      </c>
      <c r="AA497" s="316" t="str">
        <f t="shared" ca="1" si="227"/>
        <v/>
      </c>
      <c r="AC497" s="310" t="e">
        <f t="shared" ca="1" si="228"/>
        <v>#N/A</v>
      </c>
      <c r="AD497" s="323" t="e">
        <f t="shared" ca="1" si="229"/>
        <v>#N/A</v>
      </c>
      <c r="AE497" s="324">
        <f t="shared" ca="1" si="208"/>
        <v>841.39388612335665</v>
      </c>
      <c r="AG497" s="306">
        <f t="shared" ca="1" si="230"/>
        <v>66.728479558884999</v>
      </c>
      <c r="AH497" s="304">
        <f t="shared" ca="1" si="231"/>
        <v>75.860582896915446</v>
      </c>
    </row>
    <row r="498" spans="1:34" x14ac:dyDescent="0.2">
      <c r="A498" s="347">
        <f t="shared" ca="1" si="209"/>
        <v>0.01</v>
      </c>
      <c r="B498" s="304">
        <f t="shared" ca="1" si="210"/>
        <v>4.9399999999999391</v>
      </c>
      <c r="D498" s="306">
        <f t="shared" ca="1" si="211"/>
        <v>27.6627150839855</v>
      </c>
      <c r="E498" s="307">
        <f t="shared" ca="1" si="212"/>
        <v>60.66693563089342</v>
      </c>
      <c r="F498" s="304">
        <f t="shared" ca="1" si="213"/>
        <v>66.676104300271803</v>
      </c>
      <c r="G498" s="306">
        <f t="shared" ca="1" si="214"/>
        <v>136.47843566060558</v>
      </c>
      <c r="H498" s="307">
        <f t="shared" ca="1" si="215"/>
        <v>347.6111503702183</v>
      </c>
      <c r="I498" s="304">
        <f t="shared" ca="1" si="216"/>
        <v>373.44326913478113</v>
      </c>
      <c r="J498" s="306">
        <f t="shared" ca="1" si="217"/>
        <v>310.75175817857286</v>
      </c>
      <c r="K498" s="307">
        <f t="shared" ca="1" si="218"/>
        <v>844.86696428027733</v>
      </c>
      <c r="L498" s="304">
        <f t="shared" ca="1" si="203"/>
        <v>900.2037783431291</v>
      </c>
      <c r="M498" s="306">
        <f t="shared" ca="1" si="219"/>
        <v>1.1966697944516593</v>
      </c>
      <c r="N498" s="304">
        <f t="shared" ca="1" si="220"/>
        <v>68.564128692867811</v>
      </c>
      <c r="P498" s="310">
        <f t="shared" ca="1" si="221"/>
        <v>14</v>
      </c>
      <c r="Q498" s="304">
        <f t="shared" ca="1" si="222"/>
        <v>2239.8482921857344</v>
      </c>
      <c r="R498" s="306">
        <f t="shared" ca="1" si="223"/>
        <v>1.3469868331481682</v>
      </c>
      <c r="S498" s="307">
        <f t="shared" ca="1" si="224"/>
        <v>17.535379710714619</v>
      </c>
      <c r="T498" s="304">
        <f t="shared" ca="1" si="204"/>
        <v>172.02207496211042</v>
      </c>
      <c r="U498" s="311">
        <f t="shared" ca="1" si="205"/>
        <v>0</v>
      </c>
      <c r="V498" s="306">
        <f t="shared" ca="1" si="206"/>
        <v>1.1256986196633589</v>
      </c>
      <c r="W498" s="304">
        <f t="shared" ca="1" si="207"/>
        <v>915.16217974491303</v>
      </c>
      <c r="Y498" s="314" t="str">
        <f t="shared" ca="1" si="225"/>
        <v/>
      </c>
      <c r="Z498" s="315" t="str">
        <f t="shared" ca="1" si="226"/>
        <v/>
      </c>
      <c r="AA498" s="316" t="str">
        <f t="shared" ca="1" si="227"/>
        <v/>
      </c>
      <c r="AC498" s="310" t="e">
        <f t="shared" ca="1" si="228"/>
        <v>#N/A</v>
      </c>
      <c r="AD498" s="323" t="e">
        <f t="shared" ca="1" si="229"/>
        <v>#N/A</v>
      </c>
      <c r="AE498" s="324">
        <f t="shared" ca="1" si="208"/>
        <v>844.86696428027733</v>
      </c>
      <c r="AG498" s="306">
        <f t="shared" ca="1" si="230"/>
        <v>66.579695133348721</v>
      </c>
      <c r="AH498" s="304">
        <f t="shared" ca="1" si="231"/>
        <v>75.71145396661494</v>
      </c>
    </row>
    <row r="499" spans="1:34" x14ac:dyDescent="0.2">
      <c r="A499" s="347">
        <f t="shared" ca="1" si="209"/>
        <v>0.01</v>
      </c>
      <c r="B499" s="304">
        <f t="shared" ca="1" si="210"/>
        <v>4.9499999999999389</v>
      </c>
      <c r="D499" s="306">
        <f t="shared" ca="1" si="211"/>
        <v>27.61497524785392</v>
      </c>
      <c r="E499" s="307">
        <f t="shared" ca="1" si="212"/>
        <v>60.525458249412154</v>
      </c>
      <c r="F499" s="304">
        <f t="shared" ca="1" si="213"/>
        <v>66.527572887043746</v>
      </c>
      <c r="G499" s="306">
        <f t="shared" ca="1" si="214"/>
        <v>136.75458541308413</v>
      </c>
      <c r="H499" s="307">
        <f t="shared" ca="1" si="215"/>
        <v>348.21640495271242</v>
      </c>
      <c r="I499" s="304">
        <f t="shared" ca="1" si="216"/>
        <v>374.10757986132268</v>
      </c>
      <c r="J499" s="306">
        <f t="shared" ca="1" si="217"/>
        <v>312.11792328394131</v>
      </c>
      <c r="K499" s="307">
        <f t="shared" ca="1" si="218"/>
        <v>848.34610205689194</v>
      </c>
      <c r="L499" s="304">
        <f t="shared" ca="1" si="203"/>
        <v>903.94065452893688</v>
      </c>
      <c r="M499" s="306">
        <f t="shared" ca="1" si="219"/>
        <v>1.1965739621541598</v>
      </c>
      <c r="N499" s="304">
        <f t="shared" ca="1" si="220"/>
        <v>68.558637906680048</v>
      </c>
      <c r="P499" s="310">
        <f t="shared" ca="1" si="221"/>
        <v>14</v>
      </c>
      <c r="Q499" s="304">
        <f t="shared" ca="1" si="222"/>
        <v>2239.1585753114423</v>
      </c>
      <c r="R499" s="306">
        <f t="shared" ca="1" si="223"/>
        <v>1.3465720552582938</v>
      </c>
      <c r="S499" s="307">
        <f t="shared" ca="1" si="224"/>
        <v>17.521913990162037</v>
      </c>
      <c r="T499" s="304">
        <f t="shared" ca="1" si="204"/>
        <v>171.8899762434896</v>
      </c>
      <c r="U499" s="311">
        <f t="shared" ca="1" si="205"/>
        <v>0</v>
      </c>
      <c r="V499" s="306">
        <f t="shared" ca="1" si="206"/>
        <v>1.1253063389361939</v>
      </c>
      <c r="W499" s="304">
        <f t="shared" ca="1" si="207"/>
        <v>918.10095379098857</v>
      </c>
      <c r="Y499" s="314" t="str">
        <f t="shared" ca="1" si="225"/>
        <v/>
      </c>
      <c r="Z499" s="315" t="str">
        <f t="shared" ca="1" si="226"/>
        <v/>
      </c>
      <c r="AA499" s="316" t="str">
        <f t="shared" ca="1" si="227"/>
        <v/>
      </c>
      <c r="AC499" s="310" t="e">
        <f t="shared" ca="1" si="228"/>
        <v>#N/A</v>
      </c>
      <c r="AD499" s="323" t="e">
        <f t="shared" ca="1" si="229"/>
        <v>#N/A</v>
      </c>
      <c r="AE499" s="324">
        <f t="shared" ca="1" si="208"/>
        <v>848.34610205689194</v>
      </c>
      <c r="AG499" s="306">
        <f t="shared" ca="1" si="230"/>
        <v>66.430900867147756</v>
      </c>
      <c r="AH499" s="304">
        <f t="shared" ca="1" si="231"/>
        <v>75.562315641425286</v>
      </c>
    </row>
    <row r="500" spans="1:34" x14ac:dyDescent="0.2">
      <c r="A500" s="347">
        <f t="shared" ca="1" si="209"/>
        <v>0.01</v>
      </c>
      <c r="B500" s="304">
        <f t="shared" ca="1" si="210"/>
        <v>4.9599999999999387</v>
      </c>
      <c r="D500" s="306">
        <f t="shared" ca="1" si="211"/>
        <v>27.567195642406485</v>
      </c>
      <c r="E500" s="307">
        <f t="shared" ca="1" si="212"/>
        <v>60.383988247127832</v>
      </c>
      <c r="F500" s="304">
        <f t="shared" ca="1" si="213"/>
        <v>66.379035185937937</v>
      </c>
      <c r="G500" s="306">
        <f t="shared" ca="1" si="214"/>
        <v>137.03025736950821</v>
      </c>
      <c r="H500" s="307">
        <f t="shared" ca="1" si="215"/>
        <v>348.8202448351837</v>
      </c>
      <c r="I500" s="304">
        <f t="shared" ca="1" si="216"/>
        <v>374.77040256886772</v>
      </c>
      <c r="J500" s="306">
        <f t="shared" ca="1" si="217"/>
        <v>313.48684749785428</v>
      </c>
      <c r="K500" s="307">
        <f t="shared" ca="1" si="218"/>
        <v>851.83128530583144</v>
      </c>
      <c r="L500" s="304">
        <f t="shared" ca="1" si="203"/>
        <v>907.68416433246625</v>
      </c>
      <c r="M500" s="306">
        <f t="shared" ca="1" si="219"/>
        <v>1.1964782759971844</v>
      </c>
      <c r="N500" s="304">
        <f t="shared" ca="1" si="220"/>
        <v>68.55315549372753</v>
      </c>
      <c r="P500" s="310">
        <f t="shared" ca="1" si="221"/>
        <v>14</v>
      </c>
      <c r="Q500" s="304">
        <f t="shared" ca="1" si="222"/>
        <v>2238.4688584371502</v>
      </c>
      <c r="R500" s="306">
        <f t="shared" ca="1" si="223"/>
        <v>1.3461572773684194</v>
      </c>
      <c r="S500" s="307">
        <f t="shared" ca="1" si="224"/>
        <v>17.508452417388352</v>
      </c>
      <c r="T500" s="304">
        <f t="shared" ca="1" si="204"/>
        <v>171.75791821457975</v>
      </c>
      <c r="U500" s="311">
        <f t="shared" ca="1" si="205"/>
        <v>0</v>
      </c>
      <c r="V500" s="306">
        <f t="shared" ca="1" si="206"/>
        <v>1.1249135078140609</v>
      </c>
      <c r="W500" s="304">
        <f t="shared" ca="1" si="207"/>
        <v>921.0354798812499</v>
      </c>
      <c r="Y500" s="314" t="str">
        <f t="shared" ca="1" si="225"/>
        <v/>
      </c>
      <c r="Z500" s="315" t="str">
        <f t="shared" ca="1" si="226"/>
        <v/>
      </c>
      <c r="AA500" s="316" t="str">
        <f t="shared" ca="1" si="227"/>
        <v/>
      </c>
      <c r="AC500" s="310" t="e">
        <f t="shared" ca="1" si="228"/>
        <v>#N/A</v>
      </c>
      <c r="AD500" s="323" t="e">
        <f t="shared" ca="1" si="229"/>
        <v>#N/A</v>
      </c>
      <c r="AE500" s="324">
        <f t="shared" ca="1" si="208"/>
        <v>851.83128530583144</v>
      </c>
      <c r="AG500" s="306">
        <f t="shared" ca="1" si="230"/>
        <v>66.282099187597836</v>
      </c>
      <c r="AH500" s="304">
        <f t="shared" ca="1" si="231"/>
        <v>75.413170345932514</v>
      </c>
    </row>
    <row r="501" spans="1:34" x14ac:dyDescent="0.2">
      <c r="A501" s="347">
        <f t="shared" ca="1" si="209"/>
        <v>0.01</v>
      </c>
      <c r="B501" s="304">
        <f t="shared" ca="1" si="210"/>
        <v>4.9699999999999385</v>
      </c>
      <c r="D501" s="306">
        <f t="shared" ca="1" si="211"/>
        <v>27.511628147603851</v>
      </c>
      <c r="E501" s="307">
        <f t="shared" ca="1" si="212"/>
        <v>60.222801882463145</v>
      </c>
      <c r="F501" s="304">
        <f t="shared" ca="1" si="213"/>
        <v>66.209331290282904</v>
      </c>
      <c r="G501" s="306">
        <f t="shared" ca="1" si="214"/>
        <v>137.30537365098425</v>
      </c>
      <c r="H501" s="307">
        <f t="shared" ca="1" si="215"/>
        <v>349.42247285400833</v>
      </c>
      <c r="I501" s="304">
        <f t="shared" ca="1" si="216"/>
        <v>375.4315252730471</v>
      </c>
      <c r="J501" s="306">
        <f t="shared" ca="1" si="217"/>
        <v>314.85852565295676</v>
      </c>
      <c r="K501" s="307">
        <f t="shared" ca="1" si="218"/>
        <v>855.32249889427737</v>
      </c>
      <c r="L501" s="304">
        <f t="shared" ca="1" si="203"/>
        <v>911.43429181214412</v>
      </c>
      <c r="M501" s="306">
        <f t="shared" ca="1" si="219"/>
        <v>1.1963827350685143</v>
      </c>
      <c r="N501" s="304">
        <f t="shared" ca="1" si="220"/>
        <v>68.547681401743986</v>
      </c>
      <c r="P501" s="310">
        <f t="shared" ca="1" si="221"/>
        <v>15</v>
      </c>
      <c r="Q501" s="304">
        <f t="shared" ca="1" si="222"/>
        <v>2237.4085300751967</v>
      </c>
      <c r="R501" s="306">
        <f t="shared" ca="1" si="223"/>
        <v>1.3455196233150857</v>
      </c>
      <c r="S501" s="307">
        <f t="shared" ca="1" si="224"/>
        <v>17.494997221155202</v>
      </c>
      <c r="T501" s="304">
        <f t="shared" ca="1" si="204"/>
        <v>171.62592273953254</v>
      </c>
      <c r="U501" s="311">
        <f t="shared" ca="1" si="205"/>
        <v>0</v>
      </c>
      <c r="V501" s="306">
        <f t="shared" ca="1" si="206"/>
        <v>1.1245201286193449</v>
      </c>
      <c r="W501" s="304">
        <f t="shared" ca="1" si="207"/>
        <v>923.96467453338823</v>
      </c>
      <c r="Y501" s="314" t="str">
        <f t="shared" ca="1" si="225"/>
        <v/>
      </c>
      <c r="Z501" s="315" t="str">
        <f t="shared" ca="1" si="226"/>
        <v/>
      </c>
      <c r="AA501" s="316" t="str">
        <f t="shared" ca="1" si="227"/>
        <v/>
      </c>
      <c r="AC501" s="310" t="e">
        <f t="shared" ca="1" si="228"/>
        <v>#N/A</v>
      </c>
      <c r="AD501" s="323" t="e">
        <f t="shared" ca="1" si="229"/>
        <v>#N/A</v>
      </c>
      <c r="AE501" s="324">
        <f t="shared" ca="1" si="208"/>
        <v>855.32249889427737</v>
      </c>
      <c r="AG501" s="306">
        <f t="shared" ca="1" si="230"/>
        <v>66.112099069693556</v>
      </c>
      <c r="AH501" s="304">
        <f t="shared" ca="1" si="231"/>
        <v>75.242827052419841</v>
      </c>
    </row>
    <row r="502" spans="1:34" x14ac:dyDescent="0.2">
      <c r="A502" s="347">
        <f t="shared" ca="1" si="209"/>
        <v>0.01</v>
      </c>
      <c r="B502" s="304">
        <f t="shared" ca="1" si="210"/>
        <v>4.9799999999999383</v>
      </c>
      <c r="D502" s="306">
        <f t="shared" ca="1" si="211"/>
        <v>27.448268570396927</v>
      </c>
      <c r="E502" s="307">
        <f t="shared" ca="1" si="212"/>
        <v>60.04190473177303</v>
      </c>
      <c r="F502" s="304">
        <f t="shared" ca="1" si="213"/>
        <v>66.01846538152752</v>
      </c>
      <c r="G502" s="306">
        <f t="shared" ca="1" si="214"/>
        <v>137.57985633668821</v>
      </c>
      <c r="H502" s="307">
        <f t="shared" ca="1" si="215"/>
        <v>350.02289190132609</v>
      </c>
      <c r="I502" s="304">
        <f t="shared" ca="1" si="216"/>
        <v>376.09073602601694</v>
      </c>
      <c r="J502" s="306">
        <f t="shared" ca="1" si="217"/>
        <v>316.23295180289512</v>
      </c>
      <c r="K502" s="307">
        <f t="shared" ca="1" si="218"/>
        <v>858.81972571805409</v>
      </c>
      <c r="L502" s="304">
        <f t="shared" ca="1" si="203"/>
        <v>915.19101890720378</v>
      </c>
      <c r="M502" s="306">
        <f t="shared" ca="1" si="219"/>
        <v>1.1962873384087238</v>
      </c>
      <c r="N502" s="304">
        <f t="shared" ca="1" si="220"/>
        <v>68.542215575758334</v>
      </c>
      <c r="P502" s="310">
        <f t="shared" ca="1" si="221"/>
        <v>15</v>
      </c>
      <c r="Q502" s="304">
        <f t="shared" ca="1" si="222"/>
        <v>2235.9775902255724</v>
      </c>
      <c r="R502" s="306">
        <f t="shared" ca="1" si="223"/>
        <v>1.3446590930982869</v>
      </c>
      <c r="S502" s="307">
        <f t="shared" ca="1" si="224"/>
        <v>17.48155063022422</v>
      </c>
      <c r="T502" s="304">
        <f t="shared" ca="1" si="204"/>
        <v>171.4940116824996</v>
      </c>
      <c r="U502" s="311">
        <f t="shared" ca="1" si="205"/>
        <v>0</v>
      </c>
      <c r="V502" s="306">
        <f t="shared" ca="1" si="206"/>
        <v>1.1241262038947029</v>
      </c>
      <c r="W502" s="304">
        <f t="shared" ca="1" si="207"/>
        <v>926.88744893214869</v>
      </c>
      <c r="Y502" s="314" t="str">
        <f t="shared" ca="1" si="225"/>
        <v/>
      </c>
      <c r="Z502" s="315" t="str">
        <f t="shared" ca="1" si="226"/>
        <v/>
      </c>
      <c r="AA502" s="316" t="str">
        <f t="shared" ca="1" si="227"/>
        <v/>
      </c>
      <c r="AC502" s="310" t="e">
        <f t="shared" ca="1" si="228"/>
        <v>#N/A</v>
      </c>
      <c r="AD502" s="323" t="e">
        <f t="shared" ca="1" si="229"/>
        <v>#N/A</v>
      </c>
      <c r="AE502" s="324">
        <f t="shared" ca="1" si="208"/>
        <v>858.81972571805409</v>
      </c>
      <c r="AG502" s="306">
        <f t="shared" ca="1" si="230"/>
        <v>65.920904165872386</v>
      </c>
      <c r="AH502" s="304">
        <f t="shared" ca="1" si="231"/>
        <v>75.051289410438088</v>
      </c>
    </row>
    <row r="503" spans="1:34" x14ac:dyDescent="0.2">
      <c r="A503" s="347">
        <f t="shared" ca="1" si="209"/>
        <v>0.01</v>
      </c>
      <c r="B503" s="304">
        <f t="shared" ca="1" si="210"/>
        <v>4.989999999999938</v>
      </c>
      <c r="D503" s="306">
        <f t="shared" ca="1" si="211"/>
        <v>27.38487771625039</v>
      </c>
      <c r="E503" s="307">
        <f t="shared" ca="1" si="212"/>
        <v>59.861057579452051</v>
      </c>
      <c r="F503" s="304">
        <f t="shared" ca="1" si="213"/>
        <v>65.827636613085701</v>
      </c>
      <c r="G503" s="306">
        <f t="shared" ca="1" si="214"/>
        <v>137.85370511385071</v>
      </c>
      <c r="H503" s="307">
        <f t="shared" ca="1" si="215"/>
        <v>350.6215024771206</v>
      </c>
      <c r="I503" s="304">
        <f t="shared" ca="1" si="216"/>
        <v>376.74803518124685</v>
      </c>
      <c r="J503" s="306">
        <f t="shared" ca="1" si="217"/>
        <v>317.61011961014782</v>
      </c>
      <c r="K503" s="307">
        <f t="shared" ca="1" si="218"/>
        <v>862.32294768994632</v>
      </c>
      <c r="L503" s="304">
        <f t="shared" ca="1" si="203"/>
        <v>918.95432649911947</v>
      </c>
      <c r="M503" s="306">
        <f t="shared" ca="1" si="219"/>
        <v>1.196192085065473</v>
      </c>
      <c r="N503" s="304">
        <f t="shared" ca="1" si="220"/>
        <v>68.536757961205552</v>
      </c>
      <c r="P503" s="310">
        <f t="shared" ca="1" si="221"/>
        <v>15</v>
      </c>
      <c r="Q503" s="304">
        <f t="shared" ca="1" si="222"/>
        <v>2234.5466503759485</v>
      </c>
      <c r="R503" s="306">
        <f t="shared" ca="1" si="223"/>
        <v>1.3437985628814884</v>
      </c>
      <c r="S503" s="307">
        <f t="shared" ca="1" si="224"/>
        <v>17.468112644595404</v>
      </c>
      <c r="T503" s="304">
        <f t="shared" ca="1" si="204"/>
        <v>171.36218504348093</v>
      </c>
      <c r="U503" s="311">
        <f t="shared" ca="1" si="205"/>
        <v>0</v>
      </c>
      <c r="V503" s="306">
        <f t="shared" ca="1" si="206"/>
        <v>1.1237317362914132</v>
      </c>
      <c r="W503" s="304">
        <f t="shared" ca="1" si="207"/>
        <v>929.80375663643088</v>
      </c>
      <c r="Y503" s="314" t="str">
        <f t="shared" ca="1" si="225"/>
        <v/>
      </c>
      <c r="Z503" s="315" t="str">
        <f t="shared" ca="1" si="226"/>
        <v/>
      </c>
      <c r="AA503" s="316" t="str">
        <f t="shared" ca="1" si="227"/>
        <v/>
      </c>
      <c r="AC503" s="310" t="e">
        <f t="shared" ca="1" si="228"/>
        <v>#N/A</v>
      </c>
      <c r="AD503" s="323" t="e">
        <f t="shared" ca="1" si="229"/>
        <v>#N/A</v>
      </c>
      <c r="AE503" s="324">
        <f t="shared" ca="1" si="208"/>
        <v>862.32294768994632</v>
      </c>
      <c r="AG503" s="306">
        <f t="shared" ca="1" si="230"/>
        <v>65.729744607484875</v>
      </c>
      <c r="AH503" s="304">
        <f t="shared" ca="1" si="231"/>
        <v>74.85978754827795</v>
      </c>
    </row>
    <row r="504" spans="1:34" x14ac:dyDescent="0.2">
      <c r="A504" s="347">
        <f t="shared" ca="1" si="209"/>
        <v>0.01</v>
      </c>
      <c r="B504" s="304">
        <f t="shared" ca="1" si="210"/>
        <v>4.9999999999999378</v>
      </c>
      <c r="D504" s="306">
        <f t="shared" ca="1" si="211"/>
        <v>27.321456848420809</v>
      </c>
      <c r="E504" s="307">
        <f t="shared" ca="1" si="212"/>
        <v>59.680263189847594</v>
      </c>
      <c r="F504" s="304">
        <f t="shared" ca="1" si="213"/>
        <v>65.636848025553434</v>
      </c>
      <c r="G504" s="306">
        <f t="shared" ca="1" si="214"/>
        <v>138.12691968233491</v>
      </c>
      <c r="H504" s="307">
        <f t="shared" ca="1" si="215"/>
        <v>351.21830510901907</v>
      </c>
      <c r="I504" s="304">
        <f t="shared" ca="1" si="216"/>
        <v>377.40342312250192</v>
      </c>
      <c r="J504" s="306">
        <f t="shared" ca="1" si="217"/>
        <v>318.99002273412873</v>
      </c>
      <c r="K504" s="307">
        <f t="shared" ca="1" si="218"/>
        <v>865.83214672787699</v>
      </c>
      <c r="L504" s="304">
        <f t="shared" ca="1" si="203"/>
        <v>922.72419547301558</v>
      </c>
      <c r="M504" s="306">
        <f t="shared" ca="1" si="219"/>
        <v>1.1960969740934382</v>
      </c>
      <c r="N504" s="304">
        <f t="shared" ca="1" si="220"/>
        <v>68.531308503922574</v>
      </c>
      <c r="P504" s="310">
        <f t="shared" ca="1" si="221"/>
        <v>15</v>
      </c>
      <c r="Q504" s="304">
        <f t="shared" ca="1" si="222"/>
        <v>2233.1157105263246</v>
      </c>
      <c r="R504" s="306">
        <f t="shared" ca="1" si="223"/>
        <v>1.3429380326646898</v>
      </c>
      <c r="S504" s="307">
        <f t="shared" ca="1" si="224"/>
        <v>17.454683264268759</v>
      </c>
      <c r="T504" s="304">
        <f t="shared" ca="1" si="204"/>
        <v>171.23044282247653</v>
      </c>
      <c r="U504" s="311">
        <f t="shared" ca="1" si="205"/>
        <v>0</v>
      </c>
      <c r="V504" s="306">
        <f t="shared" ca="1" si="206"/>
        <v>1.1233367284579661</v>
      </c>
      <c r="W504" s="304">
        <f t="shared" ca="1" si="207"/>
        <v>932.71355161684653</v>
      </c>
      <c r="Y504" s="314" t="str">
        <f t="shared" ca="1" si="225"/>
        <v/>
      </c>
      <c r="Z504" s="315" t="str">
        <f t="shared" ca="1" si="226"/>
        <v/>
      </c>
      <c r="AA504" s="316" t="str">
        <f t="shared" ca="1" si="227"/>
        <v/>
      </c>
      <c r="AC504" s="310">
        <f t="shared" ca="1" si="228"/>
        <v>4.9999999999999378</v>
      </c>
      <c r="AD504" s="323">
        <f t="shared" ca="1" si="229"/>
        <v>318.99002273412873</v>
      </c>
      <c r="AE504" s="324">
        <f t="shared" ca="1" si="208"/>
        <v>865.83214672787699</v>
      </c>
      <c r="AG504" s="306">
        <f t="shared" ca="1" si="230"/>
        <v>65.538623424110725</v>
      </c>
      <c r="AH504" s="304">
        <f t="shared" ca="1" si="231"/>
        <v>74.668324492480792</v>
      </c>
    </row>
    <row r="505" spans="1:34" x14ac:dyDescent="0.2">
      <c r="A505" s="347">
        <f t="shared" ca="1" si="209"/>
        <v>0.01</v>
      </c>
      <c r="B505" s="304">
        <f t="shared" ca="1" si="210"/>
        <v>5.0099999999999376</v>
      </c>
      <c r="D505" s="306">
        <f t="shared" ca="1" si="211"/>
        <v>27.258007224751012</v>
      </c>
      <c r="E505" s="307">
        <f t="shared" ca="1" si="212"/>
        <v>59.499524313896671</v>
      </c>
      <c r="F505" s="304">
        <f t="shared" ca="1" si="213"/>
        <v>65.446102645188574</v>
      </c>
      <c r="G505" s="306">
        <f t="shared" ca="1" si="214"/>
        <v>138.39949975458242</v>
      </c>
      <c r="H505" s="307">
        <f t="shared" ca="1" si="215"/>
        <v>351.81330035215802</v>
      </c>
      <c r="I505" s="304">
        <f t="shared" ca="1" si="216"/>
        <v>378.05690026369894</v>
      </c>
      <c r="J505" s="306">
        <f t="shared" ca="1" si="217"/>
        <v>320.3726548313133</v>
      </c>
      <c r="K505" s="307">
        <f t="shared" ca="1" si="218"/>
        <v>869.3473047551829</v>
      </c>
      <c r="L505" s="304">
        <f t="shared" ca="1" si="203"/>
        <v>926.50060671796894</v>
      </c>
      <c r="M505" s="306">
        <f t="shared" ca="1" si="219"/>
        <v>1.1960020045542439</v>
      </c>
      <c r="N505" s="304">
        <f t="shared" ca="1" si="220"/>
        <v>68.525867150144435</v>
      </c>
      <c r="P505" s="310">
        <f t="shared" ca="1" si="221"/>
        <v>15</v>
      </c>
      <c r="Q505" s="304">
        <f t="shared" ca="1" si="222"/>
        <v>2231.6847706767003</v>
      </c>
      <c r="R505" s="306">
        <f t="shared" ca="1" si="223"/>
        <v>1.342077502447891</v>
      </c>
      <c r="S505" s="307">
        <f t="shared" ca="1" si="224"/>
        <v>17.441262489244281</v>
      </c>
      <c r="T505" s="304">
        <f t="shared" ca="1" si="204"/>
        <v>171.0987850194864</v>
      </c>
      <c r="U505" s="311">
        <f t="shared" ca="1" si="205"/>
        <v>0</v>
      </c>
      <c r="V505" s="306">
        <f t="shared" ca="1" si="206"/>
        <v>1.1229411830400231</v>
      </c>
      <c r="W505" s="304">
        <f t="shared" ca="1" si="207"/>
        <v>935.61678825574711</v>
      </c>
      <c r="Y505" s="314" t="str">
        <f t="shared" ca="1" si="225"/>
        <v/>
      </c>
      <c r="Z505" s="315" t="str">
        <f t="shared" ca="1" si="226"/>
        <v/>
      </c>
      <c r="AA505" s="316" t="str">
        <f t="shared" ca="1" si="227"/>
        <v/>
      </c>
      <c r="AC505" s="310" t="e">
        <f t="shared" ca="1" si="228"/>
        <v>#N/A</v>
      </c>
      <c r="AD505" s="323" t="e">
        <f t="shared" ca="1" si="229"/>
        <v>#N/A</v>
      </c>
      <c r="AE505" s="324">
        <f t="shared" ca="1" si="208"/>
        <v>869.3473047551829</v>
      </c>
      <c r="AG505" s="306">
        <f t="shared" ca="1" si="230"/>
        <v>65.347543630912298</v>
      </c>
      <c r="AH505" s="304">
        <f t="shared" ca="1" si="231"/>
        <v>74.4769032551919</v>
      </c>
    </row>
    <row r="506" spans="1:34" x14ac:dyDescent="0.2">
      <c r="A506" s="347">
        <f t="shared" ca="1" si="209"/>
        <v>0.01</v>
      </c>
      <c r="B506" s="304">
        <f t="shared" ca="1" si="210"/>
        <v>5.0199999999999374</v>
      </c>
      <c r="D506" s="306">
        <f t="shared" ca="1" si="211"/>
        <v>27.19453009764484</v>
      </c>
      <c r="E506" s="307">
        <f t="shared" ca="1" si="212"/>
        <v>59.318843689059278</v>
      </c>
      <c r="F506" s="304">
        <f t="shared" ca="1" si="213"/>
        <v>65.255403483840013</v>
      </c>
      <c r="G506" s="306">
        <f t="shared" ca="1" si="214"/>
        <v>138.67144505555888</v>
      </c>
      <c r="H506" s="307">
        <f t="shared" ca="1" si="215"/>
        <v>352.40648878904864</v>
      </c>
      <c r="I506" s="304">
        <f t="shared" ca="1" si="216"/>
        <v>378.70846704876135</v>
      </c>
      <c r="J506" s="306">
        <f t="shared" ca="1" si="217"/>
        <v>321.75800955536403</v>
      </c>
      <c r="K506" s="307">
        <f t="shared" ca="1" si="218"/>
        <v>872.86840370088896</v>
      </c>
      <c r="L506" s="304">
        <f t="shared" ca="1" si="203"/>
        <v>930.28354112731017</v>
      </c>
      <c r="M506" s="306">
        <f t="shared" ca="1" si="219"/>
        <v>1.1959071755163935</v>
      </c>
      <c r="N506" s="304">
        <f t="shared" ca="1" si="220"/>
        <v>68.520433846500325</v>
      </c>
      <c r="P506" s="310">
        <f t="shared" ca="1" si="221"/>
        <v>15</v>
      </c>
      <c r="Q506" s="304">
        <f t="shared" ca="1" si="222"/>
        <v>2230.2538308270764</v>
      </c>
      <c r="R506" s="306">
        <f t="shared" ca="1" si="223"/>
        <v>1.3412169722310925</v>
      </c>
      <c r="S506" s="307">
        <f t="shared" ca="1" si="224"/>
        <v>17.427850319521969</v>
      </c>
      <c r="T506" s="304">
        <f t="shared" ca="1" si="204"/>
        <v>170.96721163451053</v>
      </c>
      <c r="U506" s="311">
        <f t="shared" ca="1" si="205"/>
        <v>0</v>
      </c>
      <c r="V506" s="306">
        <f t="shared" ca="1" si="206"/>
        <v>1.122545102680377</v>
      </c>
      <c r="W506" s="304">
        <f t="shared" ca="1" si="207"/>
        <v>938.51342134721756</v>
      </c>
      <c r="Y506" s="314" t="str">
        <f t="shared" ca="1" si="225"/>
        <v/>
      </c>
      <c r="Z506" s="315" t="str">
        <f t="shared" ca="1" si="226"/>
        <v/>
      </c>
      <c r="AA506" s="316" t="str">
        <f t="shared" ca="1" si="227"/>
        <v/>
      </c>
      <c r="AC506" s="310" t="e">
        <f t="shared" ca="1" si="228"/>
        <v>#N/A</v>
      </c>
      <c r="AD506" s="323" t="e">
        <f t="shared" ca="1" si="229"/>
        <v>#N/A</v>
      </c>
      <c r="AE506" s="324">
        <f t="shared" ca="1" si="208"/>
        <v>872.86840370088896</v>
      </c>
      <c r="AG506" s="306">
        <f t="shared" ca="1" si="230"/>
        <v>65.156508228562956</v>
      </c>
      <c r="AH506" s="304">
        <f t="shared" ca="1" si="231"/>
        <v>74.285526834088628</v>
      </c>
    </row>
    <row r="507" spans="1:34" x14ac:dyDescent="0.2">
      <c r="A507" s="347">
        <f t="shared" ca="1" si="209"/>
        <v>0.01</v>
      </c>
      <c r="B507" s="304">
        <f t="shared" ca="1" si="210"/>
        <v>5.0299999999999372</v>
      </c>
      <c r="D507" s="306">
        <f t="shared" ca="1" si="211"/>
        <v>27.131026714042566</v>
      </c>
      <c r="E507" s="307">
        <f t="shared" ca="1" si="212"/>
        <v>59.138224039252862</v>
      </c>
      <c r="F507" s="304">
        <f t="shared" ca="1" si="213"/>
        <v>65.064753538878151</v>
      </c>
      <c r="G507" s="306">
        <f t="shared" ca="1" si="214"/>
        <v>138.9427553226993</v>
      </c>
      <c r="H507" s="307">
        <f t="shared" ca="1" si="215"/>
        <v>352.99787102944117</v>
      </c>
      <c r="I507" s="304">
        <f t="shared" ca="1" si="216"/>
        <v>379.35812395147337</v>
      </c>
      <c r="J507" s="306">
        <f t="shared" ca="1" si="217"/>
        <v>323.14608055725535</v>
      </c>
      <c r="K507" s="307">
        <f t="shared" ca="1" si="218"/>
        <v>876.39542549998146</v>
      </c>
      <c r="L507" s="304">
        <f t="shared" ca="1" si="203"/>
        <v>934.07297959892287</v>
      </c>
      <c r="M507" s="306">
        <f t="shared" ca="1" si="219"/>
        <v>1.195812486055204</v>
      </c>
      <c r="N507" s="304">
        <f t="shared" ca="1" si="220"/>
        <v>68.515008540009802</v>
      </c>
      <c r="P507" s="310">
        <f t="shared" ca="1" si="221"/>
        <v>15</v>
      </c>
      <c r="Q507" s="304">
        <f t="shared" ca="1" si="222"/>
        <v>2228.8228909774525</v>
      </c>
      <c r="R507" s="306">
        <f t="shared" ca="1" si="223"/>
        <v>1.3403564420142939</v>
      </c>
      <c r="S507" s="307">
        <f t="shared" ca="1" si="224"/>
        <v>17.414446755101824</v>
      </c>
      <c r="T507" s="304">
        <f t="shared" ca="1" si="204"/>
        <v>170.83572266754891</v>
      </c>
      <c r="U507" s="311">
        <f t="shared" ca="1" si="205"/>
        <v>0</v>
      </c>
      <c r="V507" s="306">
        <f t="shared" ca="1" si="206"/>
        <v>1.122148490018912</v>
      </c>
      <c r="W507" s="304">
        <f t="shared" ca="1" si="207"/>
        <v>941.40340609704299</v>
      </c>
      <c r="Y507" s="314" t="str">
        <f t="shared" ca="1" si="225"/>
        <v/>
      </c>
      <c r="Z507" s="315" t="str">
        <f t="shared" ca="1" si="226"/>
        <v/>
      </c>
      <c r="AA507" s="316" t="str">
        <f t="shared" ca="1" si="227"/>
        <v/>
      </c>
      <c r="AC507" s="310" t="e">
        <f t="shared" ca="1" si="228"/>
        <v>#N/A</v>
      </c>
      <c r="AD507" s="323" t="e">
        <f t="shared" ca="1" si="229"/>
        <v>#N/A</v>
      </c>
      <c r="AE507" s="324">
        <f t="shared" ca="1" si="208"/>
        <v>876.39542549998146</v>
      </c>
      <c r="AG507" s="306">
        <f t="shared" ca="1" si="230"/>
        <v>64.965520203176922</v>
      </c>
      <c r="AH507" s="304">
        <f t="shared" ca="1" si="231"/>
        <v>74.094198212310104</v>
      </c>
    </row>
    <row r="508" spans="1:34" x14ac:dyDescent="0.2">
      <c r="A508" s="347">
        <f t="shared" ca="1" si="209"/>
        <v>0.01</v>
      </c>
      <c r="B508" s="304">
        <f t="shared" ca="1" si="210"/>
        <v>5.039999999999937</v>
      </c>
      <c r="D508" s="306">
        <f t="shared" ca="1" si="211"/>
        <v>27.067498315396509</v>
      </c>
      <c r="E508" s="307">
        <f t="shared" ca="1" si="212"/>
        <v>58.9576680747886</v>
      </c>
      <c r="F508" s="304">
        <f t="shared" ca="1" si="213"/>
        <v>64.874155793127201</v>
      </c>
      <c r="G508" s="306">
        <f t="shared" ca="1" si="214"/>
        <v>139.21343030585325</v>
      </c>
      <c r="H508" s="307">
        <f t="shared" ca="1" si="215"/>
        <v>353.58744771018905</v>
      </c>
      <c r="I508" s="304">
        <f t="shared" ca="1" si="216"/>
        <v>380.0058714753344</v>
      </c>
      <c r="J508" s="306">
        <f t="shared" ca="1" si="217"/>
        <v>324.53686148539811</v>
      </c>
      <c r="K508" s="307">
        <f t="shared" ca="1" si="218"/>
        <v>879.92835209367956</v>
      </c>
      <c r="L508" s="304">
        <f t="shared" ca="1" si="203"/>
        <v>937.86890303554208</v>
      </c>
      <c r="M508" s="306">
        <f t="shared" ca="1" si="219"/>
        <v>1.1957179352527383</v>
      </c>
      <c r="N508" s="304">
        <f t="shared" ca="1" si="220"/>
        <v>68.509591178078935</v>
      </c>
      <c r="P508" s="310">
        <f t="shared" ca="1" si="221"/>
        <v>15</v>
      </c>
      <c r="Q508" s="304">
        <f t="shared" ca="1" si="222"/>
        <v>2227.3919511278282</v>
      </c>
      <c r="R508" s="306">
        <f t="shared" ca="1" si="223"/>
        <v>1.3394959117974952</v>
      </c>
      <c r="S508" s="307">
        <f t="shared" ca="1" si="224"/>
        <v>17.40105179598385</v>
      </c>
      <c r="T508" s="304">
        <f t="shared" ca="1" si="204"/>
        <v>170.70431811860158</v>
      </c>
      <c r="U508" s="311">
        <f t="shared" ca="1" si="205"/>
        <v>0</v>
      </c>
      <c r="V508" s="306">
        <f t="shared" ca="1" si="206"/>
        <v>1.1217513476925631</v>
      </c>
      <c r="W508" s="304">
        <f t="shared" ca="1" si="207"/>
        <v>944.28669812265093</v>
      </c>
      <c r="Y508" s="314" t="str">
        <f t="shared" ca="1" si="225"/>
        <v/>
      </c>
      <c r="Z508" s="315" t="str">
        <f t="shared" ca="1" si="226"/>
        <v/>
      </c>
      <c r="AA508" s="316" t="str">
        <f t="shared" ca="1" si="227"/>
        <v/>
      </c>
      <c r="AC508" s="310" t="e">
        <f t="shared" ca="1" si="228"/>
        <v>#N/A</v>
      </c>
      <c r="AD508" s="323" t="e">
        <f t="shared" ca="1" si="229"/>
        <v>#N/A</v>
      </c>
      <c r="AE508" s="324">
        <f t="shared" ca="1" si="208"/>
        <v>879.92835209367956</v>
      </c>
      <c r="AG508" s="306">
        <f t="shared" ca="1" si="230"/>
        <v>64.774582526240636</v>
      </c>
      <c r="AH508" s="304">
        <f t="shared" ca="1" si="231"/>
        <v>73.902920358388357</v>
      </c>
    </row>
    <row r="509" spans="1:34" x14ac:dyDescent="0.2">
      <c r="A509" s="347">
        <f t="shared" ca="1" si="209"/>
        <v>0.01</v>
      </c>
      <c r="B509" s="304">
        <f t="shared" ca="1" si="210"/>
        <v>5.0499999999999368</v>
      </c>
      <c r="D509" s="306">
        <f t="shared" ca="1" si="211"/>
        <v>27.003946137647304</v>
      </c>
      <c r="E509" s="307">
        <f t="shared" ca="1" si="212"/>
        <v>58.777178492308664</v>
      </c>
      <c r="F509" s="304">
        <f t="shared" ca="1" si="213"/>
        <v>64.683613214798612</v>
      </c>
      <c r="G509" s="306">
        <f t="shared" ca="1" si="214"/>
        <v>139.48346976722974</v>
      </c>
      <c r="H509" s="307">
        <f t="shared" ca="1" si="215"/>
        <v>354.17521949511212</v>
      </c>
      <c r="I509" s="304">
        <f t="shared" ca="1" si="216"/>
        <v>380.65171015341116</v>
      </c>
      <c r="J509" s="306">
        <f t="shared" ca="1" si="217"/>
        <v>325.93034598576349</v>
      </c>
      <c r="K509" s="307">
        <f t="shared" ca="1" si="218"/>
        <v>883.46716542970603</v>
      </c>
      <c r="L509" s="304">
        <f t="shared" ca="1" si="203"/>
        <v>941.67129234505126</v>
      </c>
      <c r="M509" s="306">
        <f t="shared" ca="1" si="219"/>
        <v>1.1956235221977407</v>
      </c>
      <c r="N509" s="304">
        <f t="shared" ca="1" si="220"/>
        <v>68.504181708496645</v>
      </c>
      <c r="P509" s="310">
        <f t="shared" ca="1" si="221"/>
        <v>15</v>
      </c>
      <c r="Q509" s="304">
        <f t="shared" ca="1" si="222"/>
        <v>2225.9610112782043</v>
      </c>
      <c r="R509" s="306">
        <f t="shared" ca="1" si="223"/>
        <v>1.3386353815806966</v>
      </c>
      <c r="S509" s="307">
        <f t="shared" ca="1" si="224"/>
        <v>17.387665442168043</v>
      </c>
      <c r="T509" s="304">
        <f t="shared" ca="1" si="204"/>
        <v>170.57299798766851</v>
      </c>
      <c r="U509" s="311">
        <f t="shared" ca="1" si="205"/>
        <v>0</v>
      </c>
      <c r="V509" s="306">
        <f t="shared" ca="1" si="206"/>
        <v>1.1213536783352787</v>
      </c>
      <c r="W509" s="304">
        <f t="shared" ca="1" si="207"/>
        <v>947.16325345302153</v>
      </c>
      <c r="Y509" s="314" t="str">
        <f t="shared" ca="1" si="225"/>
        <v/>
      </c>
      <c r="Z509" s="315" t="str">
        <f t="shared" ca="1" si="226"/>
        <v/>
      </c>
      <c r="AA509" s="316" t="str">
        <f t="shared" ca="1" si="227"/>
        <v/>
      </c>
      <c r="AC509" s="310" t="e">
        <f t="shared" ca="1" si="228"/>
        <v>#N/A</v>
      </c>
      <c r="AD509" s="323" t="e">
        <f t="shared" ca="1" si="229"/>
        <v>#N/A</v>
      </c>
      <c r="AE509" s="324">
        <f t="shared" ca="1" si="208"/>
        <v>883.46716542970603</v>
      </c>
      <c r="AG509" s="306">
        <f t="shared" ca="1" si="230"/>
        <v>64.583698154545516</v>
      </c>
      <c r="AH509" s="304">
        <f t="shared" ca="1" si="231"/>
        <v>73.711696226180848</v>
      </c>
    </row>
    <row r="510" spans="1:34" x14ac:dyDescent="0.2">
      <c r="A510" s="347">
        <f t="shared" ca="1" si="209"/>
        <v>0.01</v>
      </c>
      <c r="B510" s="304">
        <f t="shared" ca="1" si="210"/>
        <v>5.0599999999999365</v>
      </c>
      <c r="D510" s="306">
        <f t="shared" ca="1" si="211"/>
        <v>26.940371411200331</v>
      </c>
      <c r="E510" s="307">
        <f t="shared" ca="1" si="212"/>
        <v>58.596757974724738</v>
      </c>
      <c r="F510" s="304">
        <f t="shared" ca="1" si="213"/>
        <v>64.49312875742568</v>
      </c>
      <c r="G510" s="306">
        <f t="shared" ca="1" si="214"/>
        <v>139.75287348134174</v>
      </c>
      <c r="H510" s="307">
        <f t="shared" ca="1" si="215"/>
        <v>354.76118707485938</v>
      </c>
      <c r="I510" s="304">
        <f t="shared" ca="1" si="216"/>
        <v>381.29564054819105</v>
      </c>
      <c r="J510" s="306">
        <f t="shared" ca="1" si="217"/>
        <v>327.32652770200633</v>
      </c>
      <c r="K510" s="307">
        <f t="shared" ca="1" si="218"/>
        <v>887.01184746255592</v>
      </c>
      <c r="L510" s="304">
        <f t="shared" ca="1" si="203"/>
        <v>945.48012844077743</v>
      </c>
      <c r="M510" s="306">
        <f t="shared" ca="1" si="219"/>
        <v>1.1955292459855726</v>
      </c>
      <c r="N510" s="304">
        <f t="shared" ca="1" si="220"/>
        <v>68.498780079430929</v>
      </c>
      <c r="P510" s="310">
        <f t="shared" ca="1" si="221"/>
        <v>15</v>
      </c>
      <c r="Q510" s="304">
        <f t="shared" ca="1" si="222"/>
        <v>2224.5300714285804</v>
      </c>
      <c r="R510" s="306">
        <f t="shared" ca="1" si="223"/>
        <v>1.3377748513638981</v>
      </c>
      <c r="S510" s="307">
        <f t="shared" ca="1" si="224"/>
        <v>17.374287693654402</v>
      </c>
      <c r="T510" s="304">
        <f t="shared" ca="1" si="204"/>
        <v>170.44176227474969</v>
      </c>
      <c r="U510" s="311">
        <f t="shared" ca="1" si="205"/>
        <v>0</v>
      </c>
      <c r="V510" s="306">
        <f t="shared" ca="1" si="206"/>
        <v>1.1209554845779786</v>
      </c>
      <c r="W510" s="304">
        <f t="shared" ca="1" si="207"/>
        <v>950.03302852857519</v>
      </c>
      <c r="Y510" s="314" t="str">
        <f t="shared" ca="1" si="225"/>
        <v/>
      </c>
      <c r="Z510" s="315" t="str">
        <f t="shared" ca="1" si="226"/>
        <v/>
      </c>
      <c r="AA510" s="316" t="str">
        <f t="shared" ca="1" si="227"/>
        <v/>
      </c>
      <c r="AC510" s="310" t="e">
        <f t="shared" ca="1" si="228"/>
        <v>#N/A</v>
      </c>
      <c r="AD510" s="323" t="e">
        <f t="shared" ca="1" si="229"/>
        <v>#N/A</v>
      </c>
      <c r="AE510" s="324">
        <f t="shared" ca="1" si="208"/>
        <v>887.01184746255592</v>
      </c>
      <c r="AG510" s="306">
        <f t="shared" ca="1" si="230"/>
        <v>64.392870030121799</v>
      </c>
      <c r="AH510" s="304">
        <f t="shared" ca="1" si="231"/>
        <v>73.520528754804175</v>
      </c>
    </row>
    <row r="511" spans="1:34" x14ac:dyDescent="0.2">
      <c r="A511" s="347">
        <f t="shared" ca="1" si="209"/>
        <v>0.01</v>
      </c>
      <c r="B511" s="304">
        <f t="shared" ca="1" si="210"/>
        <v>5.0699999999999363</v>
      </c>
      <c r="D511" s="306">
        <f t="shared" ca="1" si="211"/>
        <v>26.876775360902666</v>
      </c>
      <c r="E511" s="307">
        <f t="shared" ca="1" si="212"/>
        <v>58.416409191158067</v>
      </c>
      <c r="F511" s="304">
        <f t="shared" ca="1" si="213"/>
        <v>64.302705359799916</v>
      </c>
      <c r="G511" s="306">
        <f t="shared" ca="1" si="214"/>
        <v>140.02164123495078</v>
      </c>
      <c r="H511" s="307">
        <f t="shared" ca="1" si="215"/>
        <v>355.34535116677097</v>
      </c>
      <c r="I511" s="304">
        <f t="shared" ca="1" si="216"/>
        <v>381.93766325143298</v>
      </c>
      <c r="J511" s="306">
        <f t="shared" ca="1" si="217"/>
        <v>328.72540027558779</v>
      </c>
      <c r="K511" s="307">
        <f t="shared" ca="1" si="218"/>
        <v>890.56238015376402</v>
      </c>
      <c r="L511" s="304">
        <f t="shared" ca="1" si="203"/>
        <v>949.29539224178404</v>
      </c>
      <c r="M511" s="306">
        <f t="shared" ca="1" si="219"/>
        <v>1.1954351057181476</v>
      </c>
      <c r="N511" s="304">
        <f t="shared" ca="1" si="220"/>
        <v>68.493386239425249</v>
      </c>
      <c r="P511" s="310">
        <f t="shared" ca="1" si="221"/>
        <v>15</v>
      </c>
      <c r="Q511" s="304">
        <f t="shared" ca="1" si="222"/>
        <v>2223.0991315789565</v>
      </c>
      <c r="R511" s="306">
        <f t="shared" ca="1" si="223"/>
        <v>1.3369143211470995</v>
      </c>
      <c r="S511" s="307">
        <f t="shared" ca="1" si="224"/>
        <v>17.360918550442932</v>
      </c>
      <c r="T511" s="304">
        <f t="shared" ca="1" si="204"/>
        <v>170.31061097984517</v>
      </c>
      <c r="U511" s="311">
        <f t="shared" ca="1" si="205"/>
        <v>0</v>
      </c>
      <c r="V511" s="306">
        <f t="shared" ca="1" si="206"/>
        <v>1.1205567690485188</v>
      </c>
      <c r="W511" s="304">
        <f t="shared" ca="1" si="207"/>
        <v>952.89598020102915</v>
      </c>
      <c r="Y511" s="314" t="str">
        <f t="shared" ca="1" si="225"/>
        <v/>
      </c>
      <c r="Z511" s="315" t="str">
        <f t="shared" ca="1" si="226"/>
        <v/>
      </c>
      <c r="AA511" s="316" t="str">
        <f t="shared" ca="1" si="227"/>
        <v/>
      </c>
      <c r="AC511" s="310" t="e">
        <f t="shared" ca="1" si="228"/>
        <v>#N/A</v>
      </c>
      <c r="AD511" s="323" t="e">
        <f t="shared" ca="1" si="229"/>
        <v>#N/A</v>
      </c>
      <c r="AE511" s="324">
        <f t="shared" ca="1" si="208"/>
        <v>890.56238015376402</v>
      </c>
      <c r="AG511" s="306">
        <f t="shared" ca="1" si="230"/>
        <v>64.202101080173961</v>
      </c>
      <c r="AH511" s="304">
        <f t="shared" ca="1" si="231"/>
        <v>73.329420868569272</v>
      </c>
    </row>
    <row r="512" spans="1:34" x14ac:dyDescent="0.2">
      <c r="A512" s="347">
        <f t="shared" ca="1" si="209"/>
        <v>0.01</v>
      </c>
      <c r="B512" s="304">
        <f t="shared" ca="1" si="210"/>
        <v>5.0799999999999361</v>
      </c>
      <c r="D512" s="306">
        <f t="shared" ca="1" si="211"/>
        <v>26.813159206020572</v>
      </c>
      <c r="E512" s="307">
        <f t="shared" ca="1" si="212"/>
        <v>58.236134796880592</v>
      </c>
      <c r="F512" s="304">
        <f t="shared" ca="1" si="213"/>
        <v>64.112345945908515</v>
      </c>
      <c r="G512" s="306">
        <f t="shared" ca="1" si="214"/>
        <v>140.28977282701098</v>
      </c>
      <c r="H512" s="307">
        <f t="shared" ca="1" si="215"/>
        <v>355.92771251473977</v>
      </c>
      <c r="I512" s="304">
        <f t="shared" ca="1" si="216"/>
        <v>382.57777888401932</v>
      </c>
      <c r="J512" s="306">
        <f t="shared" ca="1" si="217"/>
        <v>330.12695734589761</v>
      </c>
      <c r="K512" s="307">
        <f t="shared" ca="1" si="218"/>
        <v>894.11874547217155</v>
      </c>
      <c r="L512" s="304">
        <f t="shared" ca="1" si="203"/>
        <v>953.11706467316492</v>
      </c>
      <c r="M512" s="306">
        <f t="shared" ca="1" si="219"/>
        <v>1.1953411005038699</v>
      </c>
      <c r="N512" s="304">
        <f t="shared" ca="1" si="220"/>
        <v>68.488000137394906</v>
      </c>
      <c r="P512" s="310">
        <f t="shared" ca="1" si="221"/>
        <v>15</v>
      </c>
      <c r="Q512" s="304">
        <f t="shared" ca="1" si="222"/>
        <v>2221.6681917293322</v>
      </c>
      <c r="R512" s="306">
        <f t="shared" ca="1" si="223"/>
        <v>1.3360537909303007</v>
      </c>
      <c r="S512" s="307">
        <f t="shared" ca="1" si="224"/>
        <v>17.347558012533629</v>
      </c>
      <c r="T512" s="304">
        <f t="shared" ca="1" si="204"/>
        <v>170.17954410295491</v>
      </c>
      <c r="U512" s="311">
        <f t="shared" ca="1" si="205"/>
        <v>0</v>
      </c>
      <c r="V512" s="306">
        <f t="shared" ca="1" si="206"/>
        <v>1.1201575343716503</v>
      </c>
      <c r="W512" s="304">
        <f t="shared" ca="1" si="207"/>
        <v>955.75206573323032</v>
      </c>
      <c r="Y512" s="314" t="str">
        <f t="shared" ca="1" si="225"/>
        <v/>
      </c>
      <c r="Z512" s="315" t="str">
        <f t="shared" ca="1" si="226"/>
        <v/>
      </c>
      <c r="AA512" s="316" t="str">
        <f t="shared" ca="1" si="227"/>
        <v/>
      </c>
      <c r="AC512" s="310" t="e">
        <f t="shared" ca="1" si="228"/>
        <v>#N/A</v>
      </c>
      <c r="AD512" s="323" t="e">
        <f t="shared" ca="1" si="229"/>
        <v>#N/A</v>
      </c>
      <c r="AE512" s="324">
        <f t="shared" ca="1" si="208"/>
        <v>894.11874547217155</v>
      </c>
      <c r="AG512" s="306">
        <f t="shared" ca="1" si="230"/>
        <v>64.011394217017553</v>
      </c>
      <c r="AH512" s="304">
        <f t="shared" ca="1" si="231"/>
        <v>73.138375476918071</v>
      </c>
    </row>
    <row r="513" spans="1:34" x14ac:dyDescent="0.2">
      <c r="A513" s="347">
        <f t="shared" ca="1" si="209"/>
        <v>0.01</v>
      </c>
      <c r="B513" s="304">
        <f t="shared" ca="1" si="210"/>
        <v>5.0899999999999359</v>
      </c>
      <c r="D513" s="306">
        <f t="shared" ca="1" si="211"/>
        <v>26.749524160217163</v>
      </c>
      <c r="E513" s="307">
        <f t="shared" ca="1" si="212"/>
        <v>58.055937433257668</v>
      </c>
      <c r="F513" s="304">
        <f t="shared" ca="1" si="213"/>
        <v>63.922053424873411</v>
      </c>
      <c r="G513" s="306">
        <f t="shared" ca="1" si="214"/>
        <v>140.55726806861315</v>
      </c>
      <c r="H513" s="307">
        <f t="shared" ca="1" si="215"/>
        <v>356.50827188907232</v>
      </c>
      <c r="I513" s="304">
        <f t="shared" ca="1" si="216"/>
        <v>383.2159880958057</v>
      </c>
      <c r="J513" s="306">
        <f t="shared" ca="1" si="217"/>
        <v>331.53119255037575</v>
      </c>
      <c r="K513" s="307">
        <f t="shared" ca="1" si="218"/>
        <v>897.68092539419058</v>
      </c>
      <c r="L513" s="304">
        <f t="shared" ca="1" si="203"/>
        <v>956.94512666633329</v>
      </c>
      <c r="M513" s="306">
        <f t="shared" ca="1" si="219"/>
        <v>1.1952472294575707</v>
      </c>
      <c r="N513" s="304">
        <f t="shared" ca="1" si="220"/>
        <v>68.482621722623477</v>
      </c>
      <c r="P513" s="310">
        <f t="shared" ca="1" si="221"/>
        <v>15</v>
      </c>
      <c r="Q513" s="304">
        <f t="shared" ca="1" si="222"/>
        <v>2220.2372518797083</v>
      </c>
      <c r="R513" s="306">
        <f t="shared" ca="1" si="223"/>
        <v>1.3351932607135022</v>
      </c>
      <c r="S513" s="307">
        <f t="shared" ca="1" si="224"/>
        <v>17.334206079926492</v>
      </c>
      <c r="T513" s="304">
        <f t="shared" ca="1" si="204"/>
        <v>170.04856164407889</v>
      </c>
      <c r="U513" s="311">
        <f t="shared" ca="1" si="205"/>
        <v>0</v>
      </c>
      <c r="V513" s="306">
        <f t="shared" ca="1" si="206"/>
        <v>1.119757783168982</v>
      </c>
      <c r="W513" s="304">
        <f t="shared" ca="1" si="207"/>
        <v>958.60124279895797</v>
      </c>
      <c r="Y513" s="314" t="str">
        <f t="shared" ca="1" si="225"/>
        <v/>
      </c>
      <c r="Z513" s="315" t="str">
        <f t="shared" ca="1" si="226"/>
        <v/>
      </c>
      <c r="AA513" s="316" t="str">
        <f t="shared" ca="1" si="227"/>
        <v/>
      </c>
      <c r="AC513" s="310" t="e">
        <f t="shared" ca="1" si="228"/>
        <v>#N/A</v>
      </c>
      <c r="AD513" s="323" t="e">
        <f t="shared" ca="1" si="229"/>
        <v>#N/A</v>
      </c>
      <c r="AE513" s="324">
        <f t="shared" ca="1" si="208"/>
        <v>897.68092539419058</v>
      </c>
      <c r="AG513" s="306">
        <f t="shared" ca="1" si="230"/>
        <v>63.82075233801735</v>
      </c>
      <c r="AH513" s="304">
        <f t="shared" ca="1" si="231"/>
        <v>72.947395474361429</v>
      </c>
    </row>
    <row r="514" spans="1:34" x14ac:dyDescent="0.2">
      <c r="A514" s="347">
        <f t="shared" ca="1" si="209"/>
        <v>0.01</v>
      </c>
      <c r="B514" s="304">
        <f t="shared" ca="1" si="210"/>
        <v>5.0999999999999357</v>
      </c>
      <c r="D514" s="306">
        <f t="shared" ca="1" si="211"/>
        <v>26.685871431530728</v>
      </c>
      <c r="E514" s="307">
        <f t="shared" ca="1" si="212"/>
        <v>57.875819727691663</v>
      </c>
      <c r="F514" s="304">
        <f t="shared" ca="1" si="213"/>
        <v>63.731830690891435</v>
      </c>
      <c r="G514" s="306">
        <f t="shared" ca="1" si="214"/>
        <v>140.82412678292846</v>
      </c>
      <c r="H514" s="307">
        <f t="shared" ca="1" si="215"/>
        <v>357.08703008634922</v>
      </c>
      <c r="I514" s="304">
        <f t="shared" ca="1" si="216"/>
        <v>383.85229156547132</v>
      </c>
      <c r="J514" s="306">
        <f t="shared" ca="1" si="217"/>
        <v>332.93809952463346</v>
      </c>
      <c r="K514" s="307">
        <f t="shared" ca="1" si="218"/>
        <v>901.24890190406768</v>
      </c>
      <c r="L514" s="304">
        <f t="shared" ca="1" si="203"/>
        <v>960.77955915931227</v>
      </c>
      <c r="M514" s="306">
        <f t="shared" ca="1" si="219"/>
        <v>1.1951534917004476</v>
      </c>
      <c r="N514" s="304">
        <f t="shared" ca="1" si="220"/>
        <v>68.477250944759305</v>
      </c>
      <c r="P514" s="310">
        <f t="shared" ca="1" si="221"/>
        <v>15</v>
      </c>
      <c r="Q514" s="304">
        <f t="shared" ca="1" si="222"/>
        <v>2218.8063120300844</v>
      </c>
      <c r="R514" s="306">
        <f t="shared" ca="1" si="223"/>
        <v>1.3343327304967036</v>
      </c>
      <c r="S514" s="307">
        <f t="shared" ca="1" si="224"/>
        <v>17.320862752621526</v>
      </c>
      <c r="T514" s="304">
        <f t="shared" ca="1" si="204"/>
        <v>169.91766360321716</v>
      </c>
      <c r="U514" s="311">
        <f t="shared" ca="1" si="205"/>
        <v>0</v>
      </c>
      <c r="V514" s="306">
        <f t="shared" ca="1" si="206"/>
        <v>1.1193575180589419</v>
      </c>
      <c r="W514" s="304">
        <f t="shared" ca="1" si="207"/>
        <v>961.44346948270368</v>
      </c>
      <c r="Y514" s="314" t="str">
        <f t="shared" ca="1" si="225"/>
        <v/>
      </c>
      <c r="Z514" s="315" t="str">
        <f t="shared" ca="1" si="226"/>
        <v/>
      </c>
      <c r="AA514" s="316" t="str">
        <f t="shared" ca="1" si="227"/>
        <v/>
      </c>
      <c r="AC514" s="310" t="e">
        <f t="shared" ca="1" si="228"/>
        <v>#N/A</v>
      </c>
      <c r="AD514" s="323" t="e">
        <f t="shared" ca="1" si="229"/>
        <v>#N/A</v>
      </c>
      <c r="AE514" s="324">
        <f t="shared" ca="1" si="208"/>
        <v>901.24890190406768</v>
      </c>
      <c r="AG514" s="306">
        <f t="shared" ca="1" si="230"/>
        <v>63.630178325526742</v>
      </c>
      <c r="AH514" s="304">
        <f t="shared" ca="1" si="231"/>
        <v>72.756483740418375</v>
      </c>
    </row>
    <row r="515" spans="1:34" x14ac:dyDescent="0.2">
      <c r="A515" s="347">
        <f t="shared" ca="1" si="209"/>
        <v>0.01</v>
      </c>
      <c r="B515" s="304">
        <f t="shared" ca="1" si="210"/>
        <v>5.1099999999999355</v>
      </c>
      <c r="D515" s="306">
        <f t="shared" ca="1" si="211"/>
        <v>26.622202222353319</v>
      </c>
      <c r="E515" s="307">
        <f t="shared" ca="1" si="212"/>
        <v>57.695784293567371</v>
      </c>
      <c r="F515" s="304">
        <f t="shared" ca="1" si="213"/>
        <v>63.541680623176227</v>
      </c>
      <c r="G515" s="306">
        <f t="shared" ca="1" si="214"/>
        <v>141.09034880515199</v>
      </c>
      <c r="H515" s="307">
        <f t="shared" ca="1" si="215"/>
        <v>357.66398792928487</v>
      </c>
      <c r="I515" s="304">
        <f t="shared" ca="1" si="216"/>
        <v>384.48669000036801</v>
      </c>
      <c r="J515" s="306">
        <f t="shared" ca="1" si="217"/>
        <v>334.34767190257384</v>
      </c>
      <c r="K515" s="307">
        <f t="shared" ca="1" si="218"/>
        <v>904.82265699414586</v>
      </c>
      <c r="L515" s="304">
        <f t="shared" ca="1" si="203"/>
        <v>964.62034309702221</v>
      </c>
      <c r="M515" s="306">
        <f t="shared" ca="1" si="219"/>
        <v>1.1950598863600037</v>
      </c>
      <c r="N515" s="304">
        <f t="shared" ca="1" si="220"/>
        <v>68.471887753811984</v>
      </c>
      <c r="P515" s="310">
        <f t="shared" ca="1" si="221"/>
        <v>15</v>
      </c>
      <c r="Q515" s="304">
        <f t="shared" ca="1" si="222"/>
        <v>2217.3753721804601</v>
      </c>
      <c r="R515" s="306">
        <f t="shared" ca="1" si="223"/>
        <v>1.3334722002799049</v>
      </c>
      <c r="S515" s="307">
        <f t="shared" ca="1" si="224"/>
        <v>17.307528030618727</v>
      </c>
      <c r="T515" s="304">
        <f t="shared" ca="1" si="204"/>
        <v>169.78684998036971</v>
      </c>
      <c r="U515" s="311">
        <f t="shared" ca="1" si="205"/>
        <v>0</v>
      </c>
      <c r="V515" s="306">
        <f t="shared" ca="1" si="206"/>
        <v>1.1189567416567403</v>
      </c>
      <c r="W515" s="304">
        <f t="shared" ca="1" si="207"/>
        <v>964.2787042794215</v>
      </c>
      <c r="Y515" s="314" t="str">
        <f t="shared" ca="1" si="225"/>
        <v/>
      </c>
      <c r="Z515" s="315" t="str">
        <f t="shared" ca="1" si="226"/>
        <v/>
      </c>
      <c r="AA515" s="316" t="str">
        <f t="shared" ca="1" si="227"/>
        <v/>
      </c>
      <c r="AC515" s="310" t="e">
        <f t="shared" ca="1" si="228"/>
        <v>#N/A</v>
      </c>
      <c r="AD515" s="323" t="e">
        <f t="shared" ca="1" si="229"/>
        <v>#N/A</v>
      </c>
      <c r="AE515" s="324">
        <f t="shared" ca="1" si="208"/>
        <v>904.82265699414586</v>
      </c>
      <c r="AG515" s="306">
        <f t="shared" ca="1" si="230"/>
        <v>63.439675046828718</v>
      </c>
      <c r="AH515" s="304">
        <f t="shared" ca="1" si="231"/>
        <v>72.565643139556897</v>
      </c>
    </row>
    <row r="516" spans="1:34" x14ac:dyDescent="0.2">
      <c r="A516" s="347">
        <f t="shared" ca="1" si="209"/>
        <v>0.01</v>
      </c>
      <c r="B516" s="304">
        <f t="shared" ca="1" si="210"/>
        <v>5.1199999999999353</v>
      </c>
      <c r="D516" s="306">
        <f t="shared" ca="1" si="211"/>
        <v>26.558517729409814</v>
      </c>
      <c r="E516" s="307">
        <f t="shared" ca="1" si="212"/>
        <v>57.51583373019821</v>
      </c>
      <c r="F516" s="304">
        <f t="shared" ca="1" si="213"/>
        <v>63.351606085901103</v>
      </c>
      <c r="G516" s="306">
        <f t="shared" ca="1" si="214"/>
        <v>141.35593398244609</v>
      </c>
      <c r="H516" s="307">
        <f t="shared" ca="1" si="215"/>
        <v>358.23914626658683</v>
      </c>
      <c r="I516" s="304">
        <f t="shared" ca="1" si="216"/>
        <v>385.1191841363692</v>
      </c>
      <c r="J516" s="306">
        <f t="shared" ca="1" si="217"/>
        <v>335.75990331651184</v>
      </c>
      <c r="K516" s="307">
        <f t="shared" ca="1" si="218"/>
        <v>908.40217266512525</v>
      </c>
      <c r="L516" s="304">
        <f t="shared" ref="L516:L579" ca="1" si="232">SQRT(pos_x^2+pos_z^2)</f>
        <v>968.46745943156668</v>
      </c>
      <c r="M516" s="306">
        <f t="shared" ca="1" si="219"/>
        <v>1.194966412569987</v>
      </c>
      <c r="N516" s="304">
        <f t="shared" ca="1" si="220"/>
        <v>68.466532100148939</v>
      </c>
      <c r="P516" s="310">
        <f t="shared" ca="1" si="221"/>
        <v>15</v>
      </c>
      <c r="Q516" s="304">
        <f t="shared" ca="1" si="222"/>
        <v>2215.9444323308362</v>
      </c>
      <c r="R516" s="306">
        <f t="shared" ca="1" si="223"/>
        <v>1.3326116700631063</v>
      </c>
      <c r="S516" s="307">
        <f t="shared" ca="1" si="224"/>
        <v>17.294201913918094</v>
      </c>
      <c r="T516" s="304">
        <f t="shared" ref="T516:T579" ca="1" si="233">m*g</f>
        <v>169.65612077553652</v>
      </c>
      <c r="U516" s="311">
        <f t="shared" ref="U516:U579" ca="1" si="234">IF(pos_xz&lt;L_rampe,Poids*COS(Beta),0)</f>
        <v>0</v>
      </c>
      <c r="V516" s="306">
        <f t="shared" ref="V516:V579" ca="1" si="235">Rho_moyen*(20000-Alt_rampe-pos_z)/(20000+Alt_rampe+pos_z)</f>
        <v>1.1185554565743334</v>
      </c>
      <c r="W516" s="304">
        <f t="shared" ref="W516:W579" ca="1" si="236">1/2*Rho*Sref*Cx*vit_xz^2</f>
        <v>967.10690609425819</v>
      </c>
      <c r="Y516" s="314" t="str">
        <f t="shared" ca="1" si="225"/>
        <v/>
      </c>
      <c r="Z516" s="315" t="str">
        <f t="shared" ca="1" si="226"/>
        <v/>
      </c>
      <c r="AA516" s="316" t="str">
        <f t="shared" ca="1" si="227"/>
        <v/>
      </c>
      <c r="AC516" s="310" t="e">
        <f t="shared" ca="1" si="228"/>
        <v>#N/A</v>
      </c>
      <c r="AD516" s="323" t="e">
        <f t="shared" ca="1" si="229"/>
        <v>#N/A</v>
      </c>
      <c r="AE516" s="324">
        <f t="shared" ref="AE516:AE579" ca="1" si="237">IF(t&lt;T_para, pos_z, NA())</f>
        <v>908.40217266512525</v>
      </c>
      <c r="AG516" s="306">
        <f t="shared" ca="1" si="230"/>
        <v>63.24924535407802</v>
      </c>
      <c r="AH516" s="304">
        <f t="shared" ca="1" si="231"/>
        <v>72.374876521135917</v>
      </c>
    </row>
    <row r="517" spans="1:34" x14ac:dyDescent="0.2">
      <c r="A517" s="347">
        <f t="shared" ref="A517:A580" ca="1" si="238">IF(B516+0.01&lt;=T_ini+ROUNDUP(Temps_fin_propu,0), 0.01, IF(K516&gt;0, 0.1, 0.0001))</f>
        <v>0.01</v>
      </c>
      <c r="B517" s="304">
        <f t="shared" ref="B517:B580" ca="1" si="239">B516+pas</f>
        <v>5.1299999999999351</v>
      </c>
      <c r="D517" s="306">
        <f t="shared" ref="D517:D580" ca="1" si="240">IF(AND(L516&lt;L_rampe,Poussee&lt;Poids*SIN(M516)),0,(-W516+Poussee)/m*COS(M516)-U516/m*SIN(M516))</f>
        <v>26.494819143737352</v>
      </c>
      <c r="E517" s="307">
        <f t="shared" ref="E517:E580" ca="1" si="241">IF(AND(L516&lt;L_rampe,Poussee&lt;Poids*SIN(M516)),0,(-W516+Poussee)/m*SIN(M516)+U516/m*COS(M516)-Poids/m)</f>
        <v>57.3359706227739</v>
      </c>
      <c r="F517" s="304">
        <f t="shared" ref="F517:F580" ca="1" si="242">SQRT(acc_x^2+acc_z^2)</f>
        <v>63.161609928143399</v>
      </c>
      <c r="G517" s="306">
        <f t="shared" ref="G517:G580" ca="1" si="243">G516+acc_x*pas</f>
        <v>141.62088217388347</v>
      </c>
      <c r="H517" s="307">
        <f t="shared" ref="H517:H580" ca="1" si="244">H516+acc_z*pas</f>
        <v>358.81250597281456</v>
      </c>
      <c r="I517" s="304">
        <f t="shared" ref="I517:I580" ca="1" si="245">SQRT(vit_x^2+vit_z^2)</f>
        <v>385.74977473771787</v>
      </c>
      <c r="J517" s="306">
        <f t="shared" ref="J517:J580" ca="1" si="246">J516+0.5*(vit_x+G516)*pas*(K516&gt;=0)</f>
        <v>337.17478739729347</v>
      </c>
      <c r="K517" s="307">
        <f t="shared" ref="K517:K580" ca="1" si="247">K516+0.5*(vit_z+H516)*pas</f>
        <v>911.9874309263223</v>
      </c>
      <c r="L517" s="304">
        <f t="shared" ca="1" si="232"/>
        <v>972.32088912251777</v>
      </c>
      <c r="M517" s="306">
        <f t="shared" ref="M517:M580" ca="1" si="248">IF(AND(L516&gt;L_rampe,G517&gt;0),ATAN2(G517,H517),$M$4)</f>
        <v>1.1948730694703318</v>
      </c>
      <c r="N517" s="304">
        <f t="shared" ref="N517:N580" ca="1" si="249">DEGREES(Beta)</f>
        <v>68.461183934492027</v>
      </c>
      <c r="P517" s="310">
        <f t="shared" ref="P517:P580" ca="1" si="250">MATCH(t-pas/2-T_ini,CdP_t)</f>
        <v>15</v>
      </c>
      <c r="Q517" s="304">
        <f t="shared" ref="Q517:Q580" ca="1" si="251">(INDEX(CdP,2,i_P+1)-INDEX(CdP,2,i_P+0))/(INDEX(CdP,1,i_P+1)-INDEX(CdP,1,i_P+0))*(t-pas/2-T_ini-INDEX(CdP,1,i_P+0))+INDEX(CdP,2,i_P+0)</f>
        <v>2214.5134924812123</v>
      </c>
      <c r="R517" s="306">
        <f t="shared" ref="R517:R580" ca="1" si="252">Poussee/(g*ISP)</f>
        <v>1.331751139846308</v>
      </c>
      <c r="S517" s="307">
        <f t="shared" ref="S517:S580" ca="1" si="253">S516-Débit*pas</f>
        <v>17.280884402519632</v>
      </c>
      <c r="T517" s="304">
        <f t="shared" ca="1" si="233"/>
        <v>169.5254759887176</v>
      </c>
      <c r="U517" s="311">
        <f t="shared" ca="1" si="234"/>
        <v>0</v>
      </c>
      <c r="V517" s="306">
        <f t="shared" ca="1" si="235"/>
        <v>1.1181536654203836</v>
      </c>
      <c r="W517" s="304">
        <f t="shared" ca="1" si="236"/>
        <v>969.92803424224803</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f t="shared" ca="1" si="237"/>
        <v>911.9874309263223</v>
      </c>
      <c r="AG517" s="306">
        <f t="shared" ref="AG517:AG580" ca="1" si="259">IF(AND(L516&lt;L_rampe,Poussee&lt;Poids*SIN(M516)),0,(-W516+Poussee)/m-Poids*SIN(M516)/m)</f>
        <v>63.058892084244548</v>
      </c>
      <c r="AH517" s="304">
        <f t="shared" ref="AH517:AH580" ca="1" si="260">IF(AND(L516&lt;L_rampe,Poussee&lt;Poids*SIN(M516)), g*SIN(M516), (-W516+Poussee)/m)</f>
        <v>72.184186719348489</v>
      </c>
    </row>
    <row r="518" spans="1:34" x14ac:dyDescent="0.2">
      <c r="A518" s="347">
        <f t="shared" ca="1" si="238"/>
        <v>0.01</v>
      </c>
      <c r="B518" s="304">
        <f t="shared" ca="1" si="239"/>
        <v>5.1399999999999348</v>
      </c>
      <c r="D518" s="306">
        <f t="shared" ca="1" si="240"/>
        <v>26.43110765066525</v>
      </c>
      <c r="E518" s="307">
        <f t="shared" ca="1" si="241"/>
        <v>57.156197542309556</v>
      </c>
      <c r="F518" s="304">
        <f t="shared" ca="1" si="242"/>
        <v>62.971694983830375</v>
      </c>
      <c r="G518" s="306">
        <f t="shared" ca="1" si="243"/>
        <v>141.88519325039013</v>
      </c>
      <c r="H518" s="307">
        <f t="shared" ca="1" si="244"/>
        <v>359.38406794823766</v>
      </c>
      <c r="I518" s="304">
        <f t="shared" ca="1" si="245"/>
        <v>386.3784625968741</v>
      </c>
      <c r="J518" s="306">
        <f t="shared" ca="1" si="246"/>
        <v>338.59231777441482</v>
      </c>
      <c r="K518" s="307">
        <f t="shared" ca="1" si="247"/>
        <v>915.57841379592753</v>
      </c>
      <c r="L518" s="304">
        <f t="shared" ca="1" si="232"/>
        <v>976.18061313719863</v>
      </c>
      <c r="M518" s="306">
        <f t="shared" ca="1" si="248"/>
        <v>1.1947798562071001</v>
      </c>
      <c r="N518" s="304">
        <f t="shared" ca="1" si="249"/>
        <v>68.455843207914214</v>
      </c>
      <c r="P518" s="310">
        <f t="shared" ca="1" si="250"/>
        <v>15</v>
      </c>
      <c r="Q518" s="304">
        <f t="shared" ca="1" si="251"/>
        <v>2213.082552631588</v>
      </c>
      <c r="R518" s="306">
        <f t="shared" ca="1" si="252"/>
        <v>1.330890609629509</v>
      </c>
      <c r="S518" s="307">
        <f t="shared" ca="1" si="253"/>
        <v>17.267575496423337</v>
      </c>
      <c r="T518" s="304">
        <f t="shared" ca="1" si="233"/>
        <v>169.39491561991295</v>
      </c>
      <c r="U518" s="311">
        <f t="shared" ca="1" si="234"/>
        <v>0</v>
      </c>
      <c r="V518" s="306">
        <f t="shared" ca="1" si="235"/>
        <v>1.1177513708002249</v>
      </c>
      <c r="W518" s="304">
        <f t="shared" ca="1" si="236"/>
        <v>972.74204844798987</v>
      </c>
      <c r="Y518" s="314" t="str">
        <f t="shared" ca="1" si="254"/>
        <v/>
      </c>
      <c r="Z518" s="315" t="str">
        <f t="shared" ca="1" si="255"/>
        <v/>
      </c>
      <c r="AA518" s="316" t="str">
        <f t="shared" ca="1" si="256"/>
        <v/>
      </c>
      <c r="AC518" s="310" t="e">
        <f t="shared" ca="1" si="257"/>
        <v>#N/A</v>
      </c>
      <c r="AD518" s="323" t="e">
        <f t="shared" ca="1" si="258"/>
        <v>#N/A</v>
      </c>
      <c r="AE518" s="324">
        <f t="shared" ca="1" si="237"/>
        <v>915.57841379592753</v>
      </c>
      <c r="AG518" s="306">
        <f t="shared" ca="1" si="259"/>
        <v>62.868618059058434</v>
      </c>
      <c r="AH518" s="304">
        <f t="shared" ca="1" si="260"/>
        <v>71.993576553166761</v>
      </c>
    </row>
    <row r="519" spans="1:34" x14ac:dyDescent="0.2">
      <c r="A519" s="347">
        <f t="shared" ca="1" si="238"/>
        <v>0.01</v>
      </c>
      <c r="B519" s="304">
        <f t="shared" ca="1" si="239"/>
        <v>5.1499999999999346</v>
      </c>
      <c r="D519" s="306">
        <f t="shared" ca="1" si="240"/>
        <v>26.367384429795322</v>
      </c>
      <c r="E519" s="307">
        <f t="shared" ca="1" si="241"/>
        <v>56.976517045596026</v>
      </c>
      <c r="F519" s="304">
        <f t="shared" ca="1" si="242"/>
        <v>62.781864071686392</v>
      </c>
      <c r="G519" s="306">
        <f t="shared" ca="1" si="243"/>
        <v>142.14886709468809</v>
      </c>
      <c r="H519" s="307">
        <f t="shared" ca="1" si="244"/>
        <v>359.95383311869364</v>
      </c>
      <c r="I519" s="304">
        <f t="shared" ca="1" si="245"/>
        <v>387.00524853436247</v>
      </c>
      <c r="J519" s="306">
        <f t="shared" ca="1" si="246"/>
        <v>340.01248807614019</v>
      </c>
      <c r="K519" s="307">
        <f t="shared" ca="1" si="247"/>
        <v>919.1751033012622</v>
      </c>
      <c r="L519" s="304">
        <f t="shared" ca="1" si="232"/>
        <v>980.04661245096565</v>
      </c>
      <c r="M519" s="306">
        <f t="shared" ca="1" si="248"/>
        <v>1.194686771932423</v>
      </c>
      <c r="N519" s="304">
        <f t="shared" ca="1" si="249"/>
        <v>68.450509871836175</v>
      </c>
      <c r="P519" s="310">
        <f t="shared" ca="1" si="250"/>
        <v>15</v>
      </c>
      <c r="Q519" s="304">
        <f t="shared" ca="1" si="251"/>
        <v>2211.6516127819641</v>
      </c>
      <c r="R519" s="306">
        <f t="shared" ca="1" si="252"/>
        <v>1.3300300794127107</v>
      </c>
      <c r="S519" s="307">
        <f t="shared" ca="1" si="253"/>
        <v>17.254275195629209</v>
      </c>
      <c r="T519" s="304">
        <f t="shared" ca="1" si="233"/>
        <v>169.26443966912254</v>
      </c>
      <c r="U519" s="311">
        <f t="shared" ca="1" si="234"/>
        <v>0</v>
      </c>
      <c r="V519" s="306">
        <f t="shared" ca="1" si="235"/>
        <v>1.1173485753158257</v>
      </c>
      <c r="W519" s="304">
        <f t="shared" ca="1" si="236"/>
        <v>975.54890884529789</v>
      </c>
      <c r="Y519" s="314" t="str">
        <f t="shared" ca="1" si="254"/>
        <v/>
      </c>
      <c r="Z519" s="315" t="str">
        <f t="shared" ca="1" si="255"/>
        <v/>
      </c>
      <c r="AA519" s="316" t="str">
        <f t="shared" ca="1" si="256"/>
        <v/>
      </c>
      <c r="AC519" s="310" t="e">
        <f t="shared" ca="1" si="257"/>
        <v>#N/A</v>
      </c>
      <c r="AD519" s="323" t="e">
        <f t="shared" ca="1" si="258"/>
        <v>#N/A</v>
      </c>
      <c r="AE519" s="324">
        <f t="shared" ca="1" si="237"/>
        <v>919.1751033012622</v>
      </c>
      <c r="AG519" s="306">
        <f t="shared" ca="1" si="259"/>
        <v>62.678426084956335</v>
      </c>
      <c r="AH519" s="304">
        <f t="shared" ca="1" si="260"/>
        <v>71.80304882628802</v>
      </c>
    </row>
    <row r="520" spans="1:34" x14ac:dyDescent="0.2">
      <c r="A520" s="347">
        <f t="shared" ca="1" si="238"/>
        <v>0.01</v>
      </c>
      <c r="B520" s="304">
        <f t="shared" ca="1" si="239"/>
        <v>5.1599999999999344</v>
      </c>
      <c r="D520" s="306">
        <f t="shared" ca="1" si="240"/>
        <v>26.303650654982569</v>
      </c>
      <c r="E520" s="307">
        <f t="shared" ca="1" si="241"/>
        <v>56.796931675151015</v>
      </c>
      <c r="F520" s="304">
        <f t="shared" ca="1" si="242"/>
        <v>62.592119995181008</v>
      </c>
      <c r="G520" s="306">
        <f t="shared" ca="1" si="243"/>
        <v>142.41190360123792</v>
      </c>
      <c r="H520" s="307">
        <f t="shared" ca="1" si="244"/>
        <v>360.52180243544512</v>
      </c>
      <c r="I520" s="304">
        <f t="shared" ca="1" si="245"/>
        <v>387.63013339861806</v>
      </c>
      <c r="J520" s="306">
        <f t="shared" ca="1" si="246"/>
        <v>341.43529192961984</v>
      </c>
      <c r="K520" s="307">
        <f t="shared" ca="1" si="247"/>
        <v>922.77748147903287</v>
      </c>
      <c r="L520" s="304">
        <f t="shared" ca="1" si="232"/>
        <v>983.91886804748879</v>
      </c>
      <c r="M520" s="306">
        <f t="shared" ca="1" si="248"/>
        <v>1.1945938158044438</v>
      </c>
      <c r="N520" s="304">
        <f t="shared" ca="1" si="249"/>
        <v>68.445183878023087</v>
      </c>
      <c r="P520" s="310">
        <f t="shared" ca="1" si="250"/>
        <v>15</v>
      </c>
      <c r="Q520" s="304">
        <f t="shared" ca="1" si="251"/>
        <v>2210.2206729323402</v>
      </c>
      <c r="R520" s="306">
        <f t="shared" ca="1" si="252"/>
        <v>1.3291695491959121</v>
      </c>
      <c r="S520" s="307">
        <f t="shared" ca="1" si="253"/>
        <v>17.240983500137251</v>
      </c>
      <c r="T520" s="304">
        <f t="shared" ca="1" si="233"/>
        <v>169.13404813634645</v>
      </c>
      <c r="U520" s="311">
        <f t="shared" ca="1" si="234"/>
        <v>0</v>
      </c>
      <c r="V520" s="306">
        <f t="shared" ca="1" si="235"/>
        <v>1.1169452815657528</v>
      </c>
      <c r="W520" s="304">
        <f t="shared" ca="1" si="236"/>
        <v>978.34857597682196</v>
      </c>
      <c r="Y520" s="314" t="str">
        <f t="shared" ca="1" si="254"/>
        <v/>
      </c>
      <c r="Z520" s="315" t="str">
        <f t="shared" ca="1" si="255"/>
        <v/>
      </c>
      <c r="AA520" s="316" t="str">
        <f t="shared" ca="1" si="256"/>
        <v/>
      </c>
      <c r="AC520" s="310" t="e">
        <f t="shared" ca="1" si="257"/>
        <v>#N/A</v>
      </c>
      <c r="AD520" s="323" t="e">
        <f t="shared" ca="1" si="258"/>
        <v>#N/A</v>
      </c>
      <c r="AE520" s="324">
        <f t="shared" ca="1" si="237"/>
        <v>922.77748147903287</v>
      </c>
      <c r="AG520" s="306">
        <f t="shared" ca="1" si="259"/>
        <v>62.488318953028681</v>
      </c>
      <c r="AH520" s="304">
        <f t="shared" ca="1" si="260"/>
        <v>71.612606327081835</v>
      </c>
    </row>
    <row r="521" spans="1:34" x14ac:dyDescent="0.2">
      <c r="A521" s="347">
        <f t="shared" ca="1" si="238"/>
        <v>0.01</v>
      </c>
      <c r="B521" s="304">
        <f t="shared" ca="1" si="239"/>
        <v>5.1699999999999342</v>
      </c>
      <c r="D521" s="306">
        <f t="shared" ca="1" si="240"/>
        <v>26.239907494316373</v>
      </c>
      <c r="E521" s="307">
        <f t="shared" ca="1" si="241"/>
        <v>56.617443959172306</v>
      </c>
      <c r="F521" s="304">
        <f t="shared" ca="1" si="242"/>
        <v>62.402465542479149</v>
      </c>
      <c r="G521" s="306">
        <f t="shared" ca="1" si="243"/>
        <v>142.6743026761811</v>
      </c>
      <c r="H521" s="307">
        <f t="shared" ca="1" si="244"/>
        <v>361.08797687503687</v>
      </c>
      <c r="I521" s="304">
        <f t="shared" ca="1" si="245"/>
        <v>388.25311806583301</v>
      </c>
      <c r="J521" s="306">
        <f t="shared" ca="1" si="246"/>
        <v>342.86072296100696</v>
      </c>
      <c r="K521" s="307">
        <f t="shared" ca="1" si="247"/>
        <v>926.38553037558529</v>
      </c>
      <c r="L521" s="304">
        <f t="shared" ca="1" si="232"/>
        <v>987.79736091902919</v>
      </c>
      <c r="M521" s="306">
        <f t="shared" ca="1" si="248"/>
        <v>1.194500986987262</v>
      </c>
      <c r="N521" s="304">
        <f t="shared" ca="1" si="249"/>
        <v>68.439865178581385</v>
      </c>
      <c r="P521" s="310">
        <f t="shared" ca="1" si="250"/>
        <v>15</v>
      </c>
      <c r="Q521" s="304">
        <f t="shared" ca="1" si="251"/>
        <v>2208.7897330827159</v>
      </c>
      <c r="R521" s="306">
        <f t="shared" ca="1" si="252"/>
        <v>1.3283090189791134</v>
      </c>
      <c r="S521" s="307">
        <f t="shared" ca="1" si="253"/>
        <v>17.22770040994746</v>
      </c>
      <c r="T521" s="304">
        <f t="shared" ca="1" si="233"/>
        <v>169.00374102158457</v>
      </c>
      <c r="U521" s="311">
        <f t="shared" ca="1" si="234"/>
        <v>0</v>
      </c>
      <c r="V521" s="306">
        <f t="shared" ca="1" si="235"/>
        <v>1.1165414921451347</v>
      </c>
      <c r="W521" s="304">
        <f t="shared" ca="1" si="236"/>
        <v>981.14101079364889</v>
      </c>
      <c r="Y521" s="314" t="str">
        <f t="shared" ca="1" si="254"/>
        <v/>
      </c>
      <c r="Z521" s="315" t="str">
        <f t="shared" ca="1" si="255"/>
        <v/>
      </c>
      <c r="AA521" s="316" t="str">
        <f t="shared" ca="1" si="256"/>
        <v/>
      </c>
      <c r="AC521" s="310" t="e">
        <f t="shared" ca="1" si="257"/>
        <v>#N/A</v>
      </c>
      <c r="AD521" s="323" t="e">
        <f t="shared" ca="1" si="258"/>
        <v>#N/A</v>
      </c>
      <c r="AE521" s="324">
        <f t="shared" ca="1" si="237"/>
        <v>926.38553037558529</v>
      </c>
      <c r="AG521" s="306">
        <f t="shared" ca="1" si="259"/>
        <v>62.298299438968968</v>
      </c>
      <c r="AH521" s="304">
        <f t="shared" ca="1" si="260"/>
        <v>71.422251828539117</v>
      </c>
    </row>
    <row r="522" spans="1:34" x14ac:dyDescent="0.2">
      <c r="A522" s="347">
        <f t="shared" ca="1" si="238"/>
        <v>0.01</v>
      </c>
      <c r="B522" s="304">
        <f t="shared" ca="1" si="239"/>
        <v>5.179999999999934</v>
      </c>
      <c r="D522" s="306">
        <f t="shared" ca="1" si="240"/>
        <v>26.176156110102024</v>
      </c>
      <c r="E522" s="307">
        <f t="shared" ca="1" si="241"/>
        <v>56.43805641149163</v>
      </c>
      <c r="F522" s="304">
        <f t="shared" ca="1" si="242"/>
        <v>62.212903486392136</v>
      </c>
      <c r="G522" s="306">
        <f t="shared" ca="1" si="243"/>
        <v>142.93606423728212</v>
      </c>
      <c r="H522" s="307">
        <f t="shared" ca="1" si="244"/>
        <v>361.65235743915179</v>
      </c>
      <c r="I522" s="304">
        <f t="shared" ca="1" si="245"/>
        <v>388.87420343980193</v>
      </c>
      <c r="J522" s="306">
        <f t="shared" ca="1" si="246"/>
        <v>344.28877479557428</v>
      </c>
      <c r="K522" s="307">
        <f t="shared" ca="1" si="247"/>
        <v>929.99923204715628</v>
      </c>
      <c r="L522" s="304">
        <f t="shared" ca="1" si="232"/>
        <v>991.68207206671741</v>
      </c>
      <c r="M522" s="306">
        <f t="shared" ca="1" si="248"/>
        <v>1.1944082846508768</v>
      </c>
      <c r="N522" s="304">
        <f t="shared" ca="1" si="249"/>
        <v>68.43455372595551</v>
      </c>
      <c r="P522" s="310">
        <f t="shared" ca="1" si="250"/>
        <v>15</v>
      </c>
      <c r="Q522" s="304">
        <f t="shared" ca="1" si="251"/>
        <v>2207.358793233092</v>
      </c>
      <c r="R522" s="306">
        <f t="shared" ca="1" si="252"/>
        <v>1.3274484887623148</v>
      </c>
      <c r="S522" s="307">
        <f t="shared" ca="1" si="253"/>
        <v>17.214425925059835</v>
      </c>
      <c r="T522" s="304">
        <f t="shared" ca="1" si="233"/>
        <v>168.87351832483699</v>
      </c>
      <c r="U522" s="311">
        <f t="shared" ca="1" si="234"/>
        <v>0</v>
      </c>
      <c r="V522" s="306">
        <f t="shared" ca="1" si="235"/>
        <v>1.1161372096456272</v>
      </c>
      <c r="W522" s="304">
        <f t="shared" ca="1" si="236"/>
        <v>983.92617465487831</v>
      </c>
      <c r="Y522" s="314" t="str">
        <f t="shared" ca="1" si="254"/>
        <v/>
      </c>
      <c r="Z522" s="315" t="str">
        <f t="shared" ca="1" si="255"/>
        <v/>
      </c>
      <c r="AA522" s="316" t="str">
        <f t="shared" ca="1" si="256"/>
        <v/>
      </c>
      <c r="AC522" s="310" t="e">
        <f t="shared" ca="1" si="257"/>
        <v>#N/A</v>
      </c>
      <c r="AD522" s="323" t="e">
        <f t="shared" ca="1" si="258"/>
        <v>#N/A</v>
      </c>
      <c r="AE522" s="324">
        <f t="shared" ca="1" si="237"/>
        <v>929.99923204715628</v>
      </c>
      <c r="AG522" s="306">
        <f t="shared" ca="1" si="259"/>
        <v>62.108370303023797</v>
      </c>
      <c r="AH522" s="304">
        <f t="shared" ca="1" si="260"/>
        <v>71.231988088222053</v>
      </c>
    </row>
    <row r="523" spans="1:34" x14ac:dyDescent="0.2">
      <c r="A523" s="347">
        <f t="shared" ca="1" si="238"/>
        <v>0.01</v>
      </c>
      <c r="B523" s="304">
        <f t="shared" ca="1" si="239"/>
        <v>5.1899999999999338</v>
      </c>
      <c r="D523" s="306">
        <f t="shared" ca="1" si="240"/>
        <v>26.112397658842681</v>
      </c>
      <c r="E523" s="307">
        <f t="shared" ca="1" si="241"/>
        <v>56.258771531529703</v>
      </c>
      <c r="F523" s="304">
        <f t="shared" ca="1" si="242"/>
        <v>62.023436584329879</v>
      </c>
      <c r="G523" s="306">
        <f t="shared" ca="1" si="243"/>
        <v>143.19718821387056</v>
      </c>
      <c r="H523" s="307">
        <f t="shared" ca="1" si="244"/>
        <v>362.2149451544671</v>
      </c>
      <c r="I523" s="304">
        <f t="shared" ca="1" si="245"/>
        <v>389.49339045176657</v>
      </c>
      <c r="J523" s="306">
        <f t="shared" ca="1" si="246"/>
        <v>345.71944105783007</v>
      </c>
      <c r="K523" s="307">
        <f t="shared" ca="1" si="247"/>
        <v>933.61856856012434</v>
      </c>
      <c r="L523" s="304">
        <f t="shared" ca="1" si="232"/>
        <v>995.57298250082806</v>
      </c>
      <c r="M523" s="306">
        <f t="shared" ca="1" si="248"/>
        <v>1.1943157079711317</v>
      </c>
      <c r="N523" s="304">
        <f t="shared" ca="1" si="249"/>
        <v>68.429249472924781</v>
      </c>
      <c r="P523" s="310">
        <f t="shared" ca="1" si="250"/>
        <v>15</v>
      </c>
      <c r="Q523" s="304">
        <f t="shared" ca="1" si="251"/>
        <v>2205.9278533834681</v>
      </c>
      <c r="R523" s="306">
        <f t="shared" ca="1" si="252"/>
        <v>1.3265879585455163</v>
      </c>
      <c r="S523" s="307">
        <f t="shared" ca="1" si="253"/>
        <v>17.201160045474381</v>
      </c>
      <c r="T523" s="304">
        <f t="shared" ca="1" si="233"/>
        <v>168.74338004610368</v>
      </c>
      <c r="U523" s="311">
        <f t="shared" ca="1" si="234"/>
        <v>0</v>
      </c>
      <c r="V523" s="306">
        <f t="shared" ca="1" si="235"/>
        <v>1.115732436655378</v>
      </c>
      <c r="W523" s="304">
        <f t="shared" ca="1" si="236"/>
        <v>986.70402932716843</v>
      </c>
      <c r="Y523" s="314" t="str">
        <f t="shared" ca="1" si="254"/>
        <v/>
      </c>
      <c r="Z523" s="315" t="str">
        <f t="shared" ca="1" si="255"/>
        <v/>
      </c>
      <c r="AA523" s="316" t="str">
        <f t="shared" ca="1" si="256"/>
        <v/>
      </c>
      <c r="AC523" s="310" t="e">
        <f t="shared" ca="1" si="257"/>
        <v>#N/A</v>
      </c>
      <c r="AD523" s="323" t="e">
        <f t="shared" ca="1" si="258"/>
        <v>#N/A</v>
      </c>
      <c r="AE523" s="324">
        <f t="shared" ca="1" si="237"/>
        <v>933.61856856012434</v>
      </c>
      <c r="AG523" s="306">
        <f t="shared" ca="1" si="259"/>
        <v>61.918534289944297</v>
      </c>
      <c r="AH523" s="304">
        <f t="shared" ca="1" si="260"/>
        <v>71.041817848215302</v>
      </c>
    </row>
    <row r="524" spans="1:34" x14ac:dyDescent="0.2">
      <c r="A524" s="347">
        <f t="shared" ca="1" si="238"/>
        <v>0.01</v>
      </c>
      <c r="B524" s="304">
        <f t="shared" ca="1" si="239"/>
        <v>5.1999999999999336</v>
      </c>
      <c r="D524" s="306">
        <f t="shared" ca="1" si="240"/>
        <v>26.048633291221815</v>
      </c>
      <c r="E524" s="307">
        <f t="shared" ca="1" si="241"/>
        <v>56.079591804253127</v>
      </c>
      <c r="F524" s="304">
        <f t="shared" ca="1" si="242"/>
        <v>61.834067578254981</v>
      </c>
      <c r="G524" s="306">
        <f t="shared" ca="1" si="243"/>
        <v>143.45767454678278</v>
      </c>
      <c r="H524" s="307">
        <f t="shared" ca="1" si="244"/>
        <v>362.77574107250962</v>
      </c>
      <c r="I524" s="304">
        <f t="shared" ca="1" si="245"/>
        <v>390.11068006026085</v>
      </c>
      <c r="J524" s="306">
        <f t="shared" ca="1" si="246"/>
        <v>347.15271537163335</v>
      </c>
      <c r="K524" s="307">
        <f t="shared" ca="1" si="247"/>
        <v>937.24352199125929</v>
      </c>
      <c r="L524" s="304">
        <f t="shared" ca="1" si="232"/>
        <v>999.47007324105437</v>
      </c>
      <c r="M524" s="306">
        <f t="shared" ca="1" si="248"/>
        <v>1.1942232561296608</v>
      </c>
      <c r="N524" s="304">
        <f t="shared" ca="1" si="249"/>
        <v>68.423952372600283</v>
      </c>
      <c r="P524" s="310">
        <f t="shared" ca="1" si="250"/>
        <v>15</v>
      </c>
      <c r="Q524" s="304">
        <f t="shared" ca="1" si="251"/>
        <v>2204.4969135338438</v>
      </c>
      <c r="R524" s="306">
        <f t="shared" ca="1" si="252"/>
        <v>1.3257274283287175</v>
      </c>
      <c r="S524" s="307">
        <f t="shared" ca="1" si="253"/>
        <v>17.187902771191094</v>
      </c>
      <c r="T524" s="304">
        <f t="shared" ca="1" si="233"/>
        <v>168.61332618538464</v>
      </c>
      <c r="U524" s="311">
        <f t="shared" ca="1" si="234"/>
        <v>0</v>
      </c>
      <c r="V524" s="306">
        <f t="shared" ca="1" si="235"/>
        <v>1.1153271757589895</v>
      </c>
      <c r="W524" s="304">
        <f t="shared" ca="1" si="236"/>
        <v>989.47453698426364</v>
      </c>
      <c r="Y524" s="314" t="str">
        <f t="shared" ca="1" si="254"/>
        <v/>
      </c>
      <c r="Z524" s="315" t="str">
        <f t="shared" ca="1" si="255"/>
        <v/>
      </c>
      <c r="AA524" s="316" t="str">
        <f t="shared" ca="1" si="256"/>
        <v/>
      </c>
      <c r="AC524" s="310" t="e">
        <f t="shared" ca="1" si="257"/>
        <v>#N/A</v>
      </c>
      <c r="AD524" s="323" t="e">
        <f t="shared" ca="1" si="258"/>
        <v>#N/A</v>
      </c>
      <c r="AE524" s="324">
        <f t="shared" ca="1" si="237"/>
        <v>937.24352199125929</v>
      </c>
      <c r="AG524" s="306">
        <f t="shared" ca="1" si="259"/>
        <v>61.728794128939207</v>
      </c>
      <c r="AH524" s="304">
        <f t="shared" ca="1" si="260"/>
        <v>70.851743835078963</v>
      </c>
    </row>
    <row r="525" spans="1:34" x14ac:dyDescent="0.2">
      <c r="A525" s="347">
        <f t="shared" ca="1" si="238"/>
        <v>0.01</v>
      </c>
      <c r="B525" s="304">
        <f t="shared" ca="1" si="239"/>
        <v>5.2099999999999334</v>
      </c>
      <c r="D525" s="306">
        <f t="shared" ca="1" si="240"/>
        <v>25.984864152086054</v>
      </c>
      <c r="E525" s="307">
        <f t="shared" ca="1" si="241"/>
        <v>55.900519700132094</v>
      </c>
      <c r="F525" s="304">
        <f t="shared" ca="1" si="242"/>
        <v>61.644799194637848</v>
      </c>
      <c r="G525" s="306">
        <f t="shared" ca="1" si="243"/>
        <v>143.71752318830363</v>
      </c>
      <c r="H525" s="307">
        <f t="shared" ca="1" si="244"/>
        <v>363.33474626951096</v>
      </c>
      <c r="I525" s="304">
        <f t="shared" ca="1" si="245"/>
        <v>390.72607325095481</v>
      </c>
      <c r="J525" s="306">
        <f t="shared" ca="1" si="246"/>
        <v>348.58859136030878</v>
      </c>
      <c r="K525" s="307">
        <f t="shared" ca="1" si="247"/>
        <v>940.87407442796939</v>
      </c>
      <c r="L525" s="304">
        <f t="shared" ca="1" si="232"/>
        <v>1003.3733253167798</v>
      </c>
      <c r="M525" s="306">
        <f t="shared" ca="1" si="248"/>
        <v>1.1941309283138344</v>
      </c>
      <c r="N525" s="304">
        <f t="shared" ca="1" si="249"/>
        <v>68.418662378421772</v>
      </c>
      <c r="P525" s="310">
        <f t="shared" ca="1" si="250"/>
        <v>15</v>
      </c>
      <c r="Q525" s="304">
        <f t="shared" ca="1" si="251"/>
        <v>2203.0659736842199</v>
      </c>
      <c r="R525" s="306">
        <f t="shared" ca="1" si="252"/>
        <v>1.3248668981119189</v>
      </c>
      <c r="S525" s="307">
        <f t="shared" ca="1" si="253"/>
        <v>17.174654102209974</v>
      </c>
      <c r="T525" s="304">
        <f t="shared" ca="1" si="233"/>
        <v>168.48335674267986</v>
      </c>
      <c r="U525" s="311">
        <f t="shared" ca="1" si="234"/>
        <v>0</v>
      </c>
      <c r="V525" s="306">
        <f t="shared" ca="1" si="235"/>
        <v>1.1149214295374872</v>
      </c>
      <c r="W525" s="304">
        <f t="shared" ca="1" si="236"/>
        <v>992.23766020649714</v>
      </c>
      <c r="Y525" s="314" t="str">
        <f t="shared" ca="1" si="254"/>
        <v/>
      </c>
      <c r="Z525" s="315" t="str">
        <f t="shared" ca="1" si="255"/>
        <v/>
      </c>
      <c r="AA525" s="316" t="str">
        <f t="shared" ca="1" si="256"/>
        <v/>
      </c>
      <c r="AC525" s="310" t="e">
        <f t="shared" ca="1" si="257"/>
        <v>#N/A</v>
      </c>
      <c r="AD525" s="323" t="e">
        <f t="shared" ca="1" si="258"/>
        <v>#N/A</v>
      </c>
      <c r="AE525" s="324">
        <f t="shared" ca="1" si="237"/>
        <v>940.87407442796939</v>
      </c>
      <c r="AG525" s="306">
        <f t="shared" ca="1" si="259"/>
        <v>61.539152533629085</v>
      </c>
      <c r="AH525" s="304">
        <f t="shared" ca="1" si="260"/>
        <v>70.661768759802598</v>
      </c>
    </row>
    <row r="526" spans="1:34" x14ac:dyDescent="0.2">
      <c r="A526" s="347">
        <f t="shared" ca="1" si="238"/>
        <v>0.01</v>
      </c>
      <c r="B526" s="304">
        <f t="shared" ca="1" si="239"/>
        <v>5.2199999999999331</v>
      </c>
      <c r="D526" s="306">
        <f t="shared" ca="1" si="240"/>
        <v>25.921091380428269</v>
      </c>
      <c r="E526" s="307">
        <f t="shared" ca="1" si="241"/>
        <v>55.721557675099106</v>
      </c>
      <c r="F526" s="304">
        <f t="shared" ca="1" si="242"/>
        <v>61.455634144412741</v>
      </c>
      <c r="G526" s="306">
        <f t="shared" ca="1" si="243"/>
        <v>143.97673410210791</v>
      </c>
      <c r="H526" s="307">
        <f t="shared" ca="1" si="244"/>
        <v>363.89196184626195</v>
      </c>
      <c r="I526" s="304">
        <f t="shared" ca="1" si="245"/>
        <v>391.33957103649823</v>
      </c>
      <c r="J526" s="306">
        <f t="shared" ca="1" si="246"/>
        <v>350.02706264676084</v>
      </c>
      <c r="K526" s="307">
        <f t="shared" ca="1" si="247"/>
        <v>944.51020796854823</v>
      </c>
      <c r="L526" s="304">
        <f t="shared" ca="1" si="232"/>
        <v>1007.2827197673499</v>
      </c>
      <c r="M526" s="306">
        <f t="shared" ca="1" si="248"/>
        <v>1.1940387237167052</v>
      </c>
      <c r="N526" s="304">
        <f t="shared" ca="1" si="249"/>
        <v>68.413379444154558</v>
      </c>
      <c r="P526" s="310">
        <f t="shared" ca="1" si="250"/>
        <v>15</v>
      </c>
      <c r="Q526" s="304">
        <f t="shared" ca="1" si="251"/>
        <v>2201.635033834596</v>
      </c>
      <c r="R526" s="306">
        <f t="shared" ca="1" si="252"/>
        <v>1.3240063678951204</v>
      </c>
      <c r="S526" s="307">
        <f t="shared" ca="1" si="253"/>
        <v>17.161414038531024</v>
      </c>
      <c r="T526" s="304">
        <f t="shared" ca="1" si="233"/>
        <v>168.35347171798935</v>
      </c>
      <c r="U526" s="311">
        <f t="shared" ca="1" si="234"/>
        <v>0</v>
      </c>
      <c r="V526" s="306">
        <f t="shared" ca="1" si="235"/>
        <v>1.1145152005682835</v>
      </c>
      <c r="W526" s="304">
        <f t="shared" ca="1" si="236"/>
        <v>994.99336198026629</v>
      </c>
      <c r="Y526" s="314" t="str">
        <f t="shared" ca="1" si="254"/>
        <v/>
      </c>
      <c r="Z526" s="315" t="str">
        <f t="shared" ca="1" si="255"/>
        <v/>
      </c>
      <c r="AA526" s="316" t="str">
        <f t="shared" ca="1" si="256"/>
        <v/>
      </c>
      <c r="AC526" s="310" t="e">
        <f t="shared" ca="1" si="257"/>
        <v>#N/A</v>
      </c>
      <c r="AD526" s="323" t="e">
        <f t="shared" ca="1" si="258"/>
        <v>#N/A</v>
      </c>
      <c r="AE526" s="324">
        <f t="shared" ca="1" si="237"/>
        <v>944.51020796854823</v>
      </c>
      <c r="AG526" s="306">
        <f t="shared" ca="1" si="259"/>
        <v>61.34961220200146</v>
      </c>
      <c r="AH526" s="304">
        <f t="shared" ca="1" si="260"/>
        <v>70.471895317760215</v>
      </c>
    </row>
    <row r="527" spans="1:34" x14ac:dyDescent="0.2">
      <c r="A527" s="347">
        <f t="shared" ca="1" si="238"/>
        <v>0.01</v>
      </c>
      <c r="B527" s="304">
        <f t="shared" ca="1" si="239"/>
        <v>5.2299999999999329</v>
      </c>
      <c r="D527" s="306">
        <f t="shared" ca="1" si="240"/>
        <v>25.857316109371393</v>
      </c>
      <c r="E527" s="307">
        <f t="shared" ca="1" si="241"/>
        <v>55.54270817050957</v>
      </c>
      <c r="F527" s="304">
        <f t="shared" ca="1" si="242"/>
        <v>61.266575122935905</v>
      </c>
      <c r="G527" s="306">
        <f t="shared" ca="1" si="243"/>
        <v>144.23530726320163</v>
      </c>
      <c r="H527" s="307">
        <f t="shared" ca="1" si="244"/>
        <v>364.44738892796704</v>
      </c>
      <c r="I527" s="304">
        <f t="shared" ca="1" si="245"/>
        <v>391.95117445636401</v>
      </c>
      <c r="J527" s="306">
        <f t="shared" ca="1" si="246"/>
        <v>351.46812285358737</v>
      </c>
      <c r="K527" s="307">
        <f t="shared" ca="1" si="247"/>
        <v>948.15190472241943</v>
      </c>
      <c r="L527" s="304">
        <f t="shared" ca="1" si="232"/>
        <v>1011.1982376423409</v>
      </c>
      <c r="M527" s="306">
        <f t="shared" ca="1" si="248"/>
        <v>1.1939466415369564</v>
      </c>
      <c r="N527" s="304">
        <f t="shared" ca="1" si="249"/>
        <v>68.408103523886595</v>
      </c>
      <c r="P527" s="310">
        <f t="shared" ca="1" si="250"/>
        <v>15</v>
      </c>
      <c r="Q527" s="304">
        <f t="shared" ca="1" si="251"/>
        <v>2200.2040939849721</v>
      </c>
      <c r="R527" s="306">
        <f t="shared" ca="1" si="252"/>
        <v>1.3231458376783218</v>
      </c>
      <c r="S527" s="307">
        <f t="shared" ca="1" si="253"/>
        <v>17.148182580154241</v>
      </c>
      <c r="T527" s="304">
        <f t="shared" ca="1" si="233"/>
        <v>168.22367111131311</v>
      </c>
      <c r="U527" s="311">
        <f t="shared" ca="1" si="234"/>
        <v>0</v>
      </c>
      <c r="V527" s="306">
        <f t="shared" ca="1" si="235"/>
        <v>1.1141084914251433</v>
      </c>
      <c r="W527" s="304">
        <f t="shared" ca="1" si="236"/>
        <v>997.74160569748733</v>
      </c>
      <c r="Y527" s="314" t="str">
        <f t="shared" ca="1" si="254"/>
        <v/>
      </c>
      <c r="Z527" s="315" t="str">
        <f t="shared" ca="1" si="255"/>
        <v/>
      </c>
      <c r="AA527" s="316" t="str">
        <f t="shared" ca="1" si="256"/>
        <v/>
      </c>
      <c r="AC527" s="310" t="e">
        <f t="shared" ca="1" si="257"/>
        <v>#N/A</v>
      </c>
      <c r="AD527" s="323" t="e">
        <f t="shared" ca="1" si="258"/>
        <v>#N/A</v>
      </c>
      <c r="AE527" s="324">
        <f t="shared" ca="1" si="237"/>
        <v>948.15190472241943</v>
      </c>
      <c r="AG527" s="306">
        <f t="shared" ca="1" si="259"/>
        <v>61.160175816367939</v>
      </c>
      <c r="AH527" s="304">
        <f t="shared" ca="1" si="260"/>
        <v>70.282126188667235</v>
      </c>
    </row>
    <row r="528" spans="1:34" x14ac:dyDescent="0.2">
      <c r="A528" s="347">
        <f t="shared" ca="1" si="238"/>
        <v>0.01</v>
      </c>
      <c r="B528" s="304">
        <f t="shared" ca="1" si="239"/>
        <v>5.2399999999999327</v>
      </c>
      <c r="D528" s="306">
        <f t="shared" ca="1" si="240"/>
        <v>25.793539466152399</v>
      </c>
      <c r="E528" s="307">
        <f t="shared" ca="1" si="241"/>
        <v>55.363973613103042</v>
      </c>
      <c r="F528" s="304">
        <f t="shared" ca="1" si="242"/>
        <v>61.077624809944368</v>
      </c>
      <c r="G528" s="306">
        <f t="shared" ca="1" si="243"/>
        <v>144.49324265786316</v>
      </c>
      <c r="H528" s="307">
        <f t="shared" ca="1" si="244"/>
        <v>365.00102866409804</v>
      </c>
      <c r="I528" s="304">
        <f t="shared" ca="1" si="245"/>
        <v>392.56088457669063</v>
      </c>
      <c r="J528" s="306">
        <f t="shared" ca="1" si="246"/>
        <v>352.91176560319269</v>
      </c>
      <c r="K528" s="307">
        <f t="shared" ca="1" si="247"/>
        <v>951.79914681037974</v>
      </c>
      <c r="L528" s="304">
        <f t="shared" ca="1" si="232"/>
        <v>1015.1198600018274</v>
      </c>
      <c r="M528" s="306">
        <f t="shared" ca="1" si="248"/>
        <v>1.1938546809788495</v>
      </c>
      <c r="N528" s="304">
        <f t="shared" ca="1" si="249"/>
        <v>68.402834572025398</v>
      </c>
      <c r="P528" s="310">
        <f t="shared" ca="1" si="250"/>
        <v>15</v>
      </c>
      <c r="Q528" s="304">
        <f t="shared" ca="1" si="251"/>
        <v>2198.7731541353478</v>
      </c>
      <c r="R528" s="306">
        <f t="shared" ca="1" si="252"/>
        <v>1.3222853074615231</v>
      </c>
      <c r="S528" s="307">
        <f t="shared" ca="1" si="253"/>
        <v>17.134959727079625</v>
      </c>
      <c r="T528" s="304">
        <f t="shared" ca="1" si="233"/>
        <v>168.09395492265114</v>
      </c>
      <c r="U528" s="311">
        <f t="shared" ca="1" si="234"/>
        <v>0</v>
      </c>
      <c r="V528" s="306">
        <f t="shared" ca="1" si="235"/>
        <v>1.1137013046781508</v>
      </c>
      <c r="W528" s="304">
        <f t="shared" ca="1" si="236"/>
        <v>1000.4823551550252</v>
      </c>
      <c r="Y528" s="314" t="str">
        <f t="shared" ca="1" si="254"/>
        <v/>
      </c>
      <c r="Z528" s="315" t="str">
        <f t="shared" ca="1" si="255"/>
        <v/>
      </c>
      <c r="AA528" s="316" t="str">
        <f t="shared" ca="1" si="256"/>
        <v/>
      </c>
      <c r="AC528" s="310" t="e">
        <f t="shared" ca="1" si="257"/>
        <v>#N/A</v>
      </c>
      <c r="AD528" s="323" t="e">
        <f t="shared" ca="1" si="258"/>
        <v>#N/A</v>
      </c>
      <c r="AE528" s="324">
        <f t="shared" ca="1" si="237"/>
        <v>951.79914681037974</v>
      </c>
      <c r="AG528" s="306">
        <f t="shared" ca="1" si="259"/>
        <v>60.970846043322176</v>
      </c>
      <c r="AH528" s="304">
        <f t="shared" ca="1" si="260"/>
        <v>70.092464036538288</v>
      </c>
    </row>
    <row r="529" spans="1:34" x14ac:dyDescent="0.2">
      <c r="A529" s="347">
        <f t="shared" ca="1" si="238"/>
        <v>0.01</v>
      </c>
      <c r="B529" s="304">
        <f t="shared" ca="1" si="239"/>
        <v>5.2499999999999325</v>
      </c>
      <c r="D529" s="306">
        <f t="shared" ca="1" si="240"/>
        <v>25.729762572106804</v>
      </c>
      <c r="E529" s="307">
        <f t="shared" ca="1" si="241"/>
        <v>55.185356414966066</v>
      </c>
      <c r="F529" s="304">
        <f t="shared" ca="1" si="242"/>
        <v>60.888785869516433</v>
      </c>
      <c r="G529" s="306">
        <f t="shared" ca="1" si="243"/>
        <v>144.75054028358423</v>
      </c>
      <c r="H529" s="307">
        <f t="shared" ca="1" si="244"/>
        <v>365.55288222824771</v>
      </c>
      <c r="I529" s="304">
        <f t="shared" ca="1" si="245"/>
        <v>393.16870249012533</v>
      </c>
      <c r="J529" s="306">
        <f t="shared" ca="1" si="246"/>
        <v>354.35798451789992</v>
      </c>
      <c r="K529" s="307">
        <f t="shared" ca="1" si="247"/>
        <v>955.45191636484151</v>
      </c>
      <c r="L529" s="304">
        <f t="shared" ca="1" si="232"/>
        <v>1019.0475679166485</v>
      </c>
      <c r="M529" s="306">
        <f t="shared" ca="1" si="248"/>
        <v>1.1937628412521724</v>
      </c>
      <c r="N529" s="304">
        <f t="shared" ca="1" si="249"/>
        <v>68.397572543295169</v>
      </c>
      <c r="P529" s="310">
        <f t="shared" ca="1" si="250"/>
        <v>15</v>
      </c>
      <c r="Q529" s="304">
        <f t="shared" ca="1" si="251"/>
        <v>2197.3422142857239</v>
      </c>
      <c r="R529" s="306">
        <f t="shared" ca="1" si="252"/>
        <v>1.3214247772447245</v>
      </c>
      <c r="S529" s="307">
        <f t="shared" ca="1" si="253"/>
        <v>17.121745479307179</v>
      </c>
      <c r="T529" s="304">
        <f t="shared" ca="1" si="233"/>
        <v>167.96432315200343</v>
      </c>
      <c r="U529" s="311">
        <f t="shared" ca="1" si="234"/>
        <v>0</v>
      </c>
      <c r="V529" s="306">
        <f t="shared" ca="1" si="235"/>
        <v>1.1132936428936757</v>
      </c>
      <c r="W529" s="304">
        <f t="shared" ca="1" si="236"/>
        <v>1003.2155745541022</v>
      </c>
      <c r="Y529" s="314" t="str">
        <f t="shared" ca="1" si="254"/>
        <v/>
      </c>
      <c r="Z529" s="315" t="str">
        <f t="shared" ca="1" si="255"/>
        <v/>
      </c>
      <c r="AA529" s="316" t="str">
        <f t="shared" ca="1" si="256"/>
        <v/>
      </c>
      <c r="AC529" s="310" t="e">
        <f t="shared" ca="1" si="257"/>
        <v>#N/A</v>
      </c>
      <c r="AD529" s="323" t="e">
        <f t="shared" ca="1" si="258"/>
        <v>#N/A</v>
      </c>
      <c r="AE529" s="324">
        <f t="shared" ca="1" si="237"/>
        <v>955.45191636484151</v>
      </c>
      <c r="AG529" s="306">
        <f t="shared" ca="1" si="259"/>
        <v>60.781625533699213</v>
      </c>
      <c r="AH529" s="304">
        <f t="shared" ca="1" si="260"/>
        <v>69.90291150964643</v>
      </c>
    </row>
    <row r="530" spans="1:34" x14ac:dyDescent="0.2">
      <c r="A530" s="347">
        <f t="shared" ca="1" si="238"/>
        <v>0.01</v>
      </c>
      <c r="B530" s="304">
        <f t="shared" ca="1" si="239"/>
        <v>5.2599999999999323</v>
      </c>
      <c r="D530" s="306">
        <f t="shared" ca="1" si="240"/>
        <v>25.66598654265356</v>
      </c>
      <c r="E530" s="307">
        <f t="shared" ca="1" si="241"/>
        <v>55.006858973495966</v>
      </c>
      <c r="F530" s="304">
        <f t="shared" ca="1" si="242"/>
        <v>60.700060950033219</v>
      </c>
      <c r="G530" s="306">
        <f t="shared" ca="1" si="243"/>
        <v>145.00720014901077</v>
      </c>
      <c r="H530" s="307">
        <f t="shared" ca="1" si="244"/>
        <v>366.10295081798267</v>
      </c>
      <c r="I530" s="304">
        <f t="shared" ca="1" si="245"/>
        <v>393.77462931566515</v>
      </c>
      <c r="J530" s="306">
        <f t="shared" ca="1" si="246"/>
        <v>355.80677322006289</v>
      </c>
      <c r="K530" s="307">
        <f t="shared" ca="1" si="247"/>
        <v>959.1101955300727</v>
      </c>
      <c r="L530" s="304">
        <f t="shared" ca="1" si="232"/>
        <v>1022.9813424686726</v>
      </c>
      <c r="M530" s="306">
        <f t="shared" ca="1" si="248"/>
        <v>1.1936711215721891</v>
      </c>
      <c r="N530" s="304">
        <f t="shared" ca="1" si="249"/>
        <v>68.39231739273383</v>
      </c>
      <c r="P530" s="310">
        <f t="shared" ca="1" si="250"/>
        <v>15</v>
      </c>
      <c r="Q530" s="304">
        <f t="shared" ca="1" si="251"/>
        <v>2195.9112744361</v>
      </c>
      <c r="R530" s="306">
        <f t="shared" ca="1" si="252"/>
        <v>1.320564247027926</v>
      </c>
      <c r="S530" s="307">
        <f t="shared" ca="1" si="253"/>
        <v>17.108539836836901</v>
      </c>
      <c r="T530" s="304">
        <f t="shared" ca="1" si="233"/>
        <v>167.83477579936999</v>
      </c>
      <c r="U530" s="311">
        <f t="shared" ca="1" si="234"/>
        <v>0</v>
      </c>
      <c r="V530" s="306">
        <f t="shared" ca="1" si="235"/>
        <v>1.1128855086343399</v>
      </c>
      <c r="W530" s="304">
        <f t="shared" ca="1" si="236"/>
        <v>1005.9412284996804</v>
      </c>
      <c r="Y530" s="314" t="str">
        <f t="shared" ca="1" si="254"/>
        <v/>
      </c>
      <c r="Z530" s="315" t="str">
        <f t="shared" ca="1" si="255"/>
        <v/>
      </c>
      <c r="AA530" s="316" t="str">
        <f t="shared" ca="1" si="256"/>
        <v/>
      </c>
      <c r="AC530" s="310" t="e">
        <f t="shared" ca="1" si="257"/>
        <v>#N/A</v>
      </c>
      <c r="AD530" s="323" t="e">
        <f t="shared" ca="1" si="258"/>
        <v>#N/A</v>
      </c>
      <c r="AE530" s="324">
        <f t="shared" ca="1" si="237"/>
        <v>959.1101955300727</v>
      </c>
      <c r="AG530" s="306">
        <f t="shared" ca="1" si="259"/>
        <v>60.592516922536163</v>
      </c>
      <c r="AH530" s="304">
        <f t="shared" ca="1" si="260"/>
        <v>69.713471240483628</v>
      </c>
    </row>
    <row r="531" spans="1:34" x14ac:dyDescent="0.2">
      <c r="A531" s="347">
        <f t="shared" ca="1" si="238"/>
        <v>0.01</v>
      </c>
      <c r="B531" s="304">
        <f t="shared" ca="1" si="239"/>
        <v>5.2699999999999321</v>
      </c>
      <c r="D531" s="306">
        <f t="shared" ca="1" si="240"/>
        <v>25.602212487280323</v>
      </c>
      <c r="E531" s="307">
        <f t="shared" ca="1" si="241"/>
        <v>54.828483671365959</v>
      </c>
      <c r="F531" s="304">
        <f t="shared" ca="1" si="242"/>
        <v>60.511452684141503</v>
      </c>
      <c r="G531" s="306">
        <f t="shared" ca="1" si="243"/>
        <v>145.26322227388357</v>
      </c>
      <c r="H531" s="307">
        <f t="shared" ca="1" si="244"/>
        <v>366.65123565469634</v>
      </c>
      <c r="I531" s="304">
        <f t="shared" ca="1" si="245"/>
        <v>394.37866619849933</v>
      </c>
      <c r="J531" s="306">
        <f t="shared" ca="1" si="246"/>
        <v>357.25812533217737</v>
      </c>
      <c r="K531" s="307">
        <f t="shared" ca="1" si="247"/>
        <v>962.77396646243608</v>
      </c>
      <c r="L531" s="304">
        <f t="shared" ca="1" si="232"/>
        <v>1026.9211647510601</v>
      </c>
      <c r="M531" s="306">
        <f t="shared" ca="1" si="248"/>
        <v>1.1935795211595892</v>
      </c>
      <c r="N531" s="304">
        <f t="shared" ca="1" si="249"/>
        <v>68.387069075690206</v>
      </c>
      <c r="P531" s="310">
        <f t="shared" ca="1" si="250"/>
        <v>15</v>
      </c>
      <c r="Q531" s="304">
        <f t="shared" ca="1" si="251"/>
        <v>2194.4803345864757</v>
      </c>
      <c r="R531" s="306">
        <f t="shared" ca="1" si="252"/>
        <v>1.3197037168111272</v>
      </c>
      <c r="S531" s="307">
        <f t="shared" ca="1" si="253"/>
        <v>17.095342799668789</v>
      </c>
      <c r="T531" s="304">
        <f t="shared" ca="1" si="233"/>
        <v>167.70531286475082</v>
      </c>
      <c r="U531" s="311">
        <f t="shared" ca="1" si="234"/>
        <v>0</v>
      </c>
      <c r="V531" s="306">
        <f t="shared" ca="1" si="235"/>
        <v>1.1124769044589846</v>
      </c>
      <c r="W531" s="304">
        <f t="shared" ca="1" si="236"/>
        <v>1008.6592819998248</v>
      </c>
      <c r="Y531" s="314" t="str">
        <f t="shared" ca="1" si="254"/>
        <v/>
      </c>
      <c r="Z531" s="315" t="str">
        <f t="shared" ca="1" si="255"/>
        <v/>
      </c>
      <c r="AA531" s="316" t="str">
        <f t="shared" ca="1" si="256"/>
        <v/>
      </c>
      <c r="AC531" s="310" t="e">
        <f t="shared" ca="1" si="257"/>
        <v>#N/A</v>
      </c>
      <c r="AD531" s="323" t="e">
        <f t="shared" ca="1" si="258"/>
        <v>#N/A</v>
      </c>
      <c r="AE531" s="324">
        <f t="shared" ca="1" si="237"/>
        <v>962.77396646243608</v>
      </c>
      <c r="AG531" s="306">
        <f t="shared" ca="1" si="259"/>
        <v>60.403522829034102</v>
      </c>
      <c r="AH531" s="304">
        <f t="shared" ca="1" si="260"/>
        <v>69.524145845722529</v>
      </c>
    </row>
    <row r="532" spans="1:34" x14ac:dyDescent="0.2">
      <c r="A532" s="347">
        <f t="shared" ca="1" si="238"/>
        <v>0.01</v>
      </c>
      <c r="B532" s="304">
        <f t="shared" ca="1" si="239"/>
        <v>5.2799999999999319</v>
      </c>
      <c r="D532" s="306">
        <f t="shared" ca="1" si="240"/>
        <v>25.538441509529257</v>
      </c>
      <c r="E532" s="307">
        <f t="shared" ca="1" si="241"/>
        <v>54.650232876491543</v>
      </c>
      <c r="F532" s="304">
        <f t="shared" ca="1" si="242"/>
        <v>60.322963688718112</v>
      </c>
      <c r="G532" s="306">
        <f t="shared" ca="1" si="243"/>
        <v>145.51860668897885</v>
      </c>
      <c r="H532" s="307">
        <f t="shared" ca="1" si="244"/>
        <v>367.19773798346125</v>
      </c>
      <c r="I532" s="304">
        <f t="shared" ca="1" si="245"/>
        <v>394.98081430985019</v>
      </c>
      <c r="J532" s="306">
        <f t="shared" ca="1" si="246"/>
        <v>358.71203447699168</v>
      </c>
      <c r="K532" s="307">
        <f t="shared" ca="1" si="247"/>
        <v>966.44321133062681</v>
      </c>
      <c r="L532" s="304">
        <f t="shared" ca="1" si="232"/>
        <v>1030.8670158685247</v>
      </c>
      <c r="M532" s="306">
        <f t="shared" ca="1" si="248"/>
        <v>1.1934880392404379</v>
      </c>
      <c r="N532" s="304">
        <f t="shared" ca="1" si="249"/>
        <v>68.381827547821075</v>
      </c>
      <c r="P532" s="310">
        <f t="shared" ca="1" si="250"/>
        <v>15</v>
      </c>
      <c r="Q532" s="304">
        <f t="shared" ca="1" si="251"/>
        <v>2193.0493947368518</v>
      </c>
      <c r="R532" s="306">
        <f t="shared" ca="1" si="252"/>
        <v>1.3188431865943286</v>
      </c>
      <c r="S532" s="307">
        <f t="shared" ca="1" si="253"/>
        <v>17.082154367802847</v>
      </c>
      <c r="T532" s="304">
        <f t="shared" ca="1" si="233"/>
        <v>167.57593434814595</v>
      </c>
      <c r="U532" s="311">
        <f t="shared" ca="1" si="234"/>
        <v>0</v>
      </c>
      <c r="V532" s="306">
        <f t="shared" ca="1" si="235"/>
        <v>1.1120678329226368</v>
      </c>
      <c r="W532" s="304">
        <f t="shared" ca="1" si="236"/>
        <v>1011.3697004650403</v>
      </c>
      <c r="Y532" s="314" t="str">
        <f t="shared" ca="1" si="254"/>
        <v/>
      </c>
      <c r="Z532" s="315" t="str">
        <f t="shared" ca="1" si="255"/>
        <v/>
      </c>
      <c r="AA532" s="316" t="str">
        <f t="shared" ca="1" si="256"/>
        <v/>
      </c>
      <c r="AC532" s="310" t="e">
        <f t="shared" ca="1" si="257"/>
        <v>#N/A</v>
      </c>
      <c r="AD532" s="323" t="e">
        <f t="shared" ca="1" si="258"/>
        <v>#N/A</v>
      </c>
      <c r="AE532" s="324">
        <f t="shared" ca="1" si="237"/>
        <v>966.44321133062681</v>
      </c>
      <c r="AG532" s="306">
        <f t="shared" ca="1" si="259"/>
        <v>60.214645856521287</v>
      </c>
      <c r="AH532" s="304">
        <f t="shared" ca="1" si="260"/>
        <v>69.334937926179535</v>
      </c>
    </row>
    <row r="533" spans="1:34" x14ac:dyDescent="0.2">
      <c r="A533" s="347">
        <f t="shared" ca="1" si="238"/>
        <v>0.01</v>
      </c>
      <c r="B533" s="304">
        <f t="shared" ca="1" si="239"/>
        <v>5.2899999999999316</v>
      </c>
      <c r="D533" s="306">
        <f t="shared" ca="1" si="240"/>
        <v>25.474674706983127</v>
      </c>
      <c r="E533" s="307">
        <f t="shared" ca="1" si="241"/>
        <v>54.472108941998002</v>
      </c>
      <c r="F533" s="304">
        <f t="shared" ca="1" si="242"/>
        <v>60.13459656483532</v>
      </c>
      <c r="G533" s="306">
        <f t="shared" ca="1" si="243"/>
        <v>145.77335343604869</v>
      </c>
      <c r="H533" s="307">
        <f t="shared" ca="1" si="244"/>
        <v>367.74245907288122</v>
      </c>
      <c r="I533" s="304">
        <f t="shared" ca="1" si="245"/>
        <v>395.58107484681432</v>
      </c>
      <c r="J533" s="306">
        <f t="shared" ca="1" si="246"/>
        <v>360.16849427761679</v>
      </c>
      <c r="K533" s="307">
        <f t="shared" ca="1" si="247"/>
        <v>970.11791231590848</v>
      </c>
      <c r="L533" s="304">
        <f t="shared" ca="1" si="232"/>
        <v>1034.8188769375936</v>
      </c>
      <c r="M533" s="306">
        <f t="shared" ca="1" si="248"/>
        <v>1.1933966750461271</v>
      </c>
      <c r="N533" s="304">
        <f t="shared" ca="1" si="249"/>
        <v>68.376592765088446</v>
      </c>
      <c r="P533" s="310">
        <f t="shared" ca="1" si="250"/>
        <v>15</v>
      </c>
      <c r="Q533" s="304">
        <f t="shared" ca="1" si="251"/>
        <v>2191.6184548872279</v>
      </c>
      <c r="R533" s="306">
        <f t="shared" ca="1" si="252"/>
        <v>1.3179826563775301</v>
      </c>
      <c r="S533" s="307">
        <f t="shared" ca="1" si="253"/>
        <v>17.068974541239072</v>
      </c>
      <c r="T533" s="304">
        <f t="shared" ca="1" si="233"/>
        <v>167.44664024955532</v>
      </c>
      <c r="U533" s="311">
        <f t="shared" ca="1" si="234"/>
        <v>0</v>
      </c>
      <c r="V533" s="306">
        <f t="shared" ca="1" si="235"/>
        <v>1.111658296576479</v>
      </c>
      <c r="W533" s="304">
        <f t="shared" ca="1" si="236"/>
        <v>1014.0724497075918</v>
      </c>
      <c r="Y533" s="314" t="str">
        <f t="shared" ca="1" si="254"/>
        <v/>
      </c>
      <c r="Z533" s="315" t="str">
        <f t="shared" ca="1" si="255"/>
        <v/>
      </c>
      <c r="AA533" s="316" t="str">
        <f t="shared" ca="1" si="256"/>
        <v/>
      </c>
      <c r="AC533" s="310" t="e">
        <f t="shared" ca="1" si="257"/>
        <v>#N/A</v>
      </c>
      <c r="AD533" s="323" t="e">
        <f t="shared" ca="1" si="258"/>
        <v>#N/A</v>
      </c>
      <c r="AE533" s="324">
        <f t="shared" ca="1" si="237"/>
        <v>970.11791231590848</v>
      </c>
      <c r="AG533" s="306">
        <f t="shared" ca="1" si="259"/>
        <v>60.025888592417708</v>
      </c>
      <c r="AH533" s="304">
        <f t="shared" ca="1" si="260"/>
        <v>69.145850066779175</v>
      </c>
    </row>
    <row r="534" spans="1:34" x14ac:dyDescent="0.2">
      <c r="A534" s="347">
        <f t="shared" ca="1" si="238"/>
        <v>0.01</v>
      </c>
      <c r="B534" s="304">
        <f t="shared" ca="1" si="239"/>
        <v>5.2999999999999314</v>
      </c>
      <c r="D534" s="306">
        <f t="shared" ca="1" si="240"/>
        <v>25.410913171251796</v>
      </c>
      <c r="E534" s="307">
        <f t="shared" ca="1" si="241"/>
        <v>54.294114206188866</v>
      </c>
      <c r="F534" s="304">
        <f t="shared" ca="1" si="242"/>
        <v>59.946353897727406</v>
      </c>
      <c r="G534" s="306">
        <f t="shared" ca="1" si="243"/>
        <v>146.02746256776121</v>
      </c>
      <c r="H534" s="307">
        <f t="shared" ca="1" si="244"/>
        <v>368.28540021494308</v>
      </c>
      <c r="I534" s="304">
        <f t="shared" ca="1" si="245"/>
        <v>396.17944903220268</v>
      </c>
      <c r="J534" s="306">
        <f t="shared" ca="1" si="246"/>
        <v>361.62749835763583</v>
      </c>
      <c r="K534" s="307">
        <f t="shared" ca="1" si="247"/>
        <v>973.79805161234765</v>
      </c>
      <c r="L534" s="304">
        <f t="shared" ca="1" si="232"/>
        <v>1038.7767290868651</v>
      </c>
      <c r="M534" s="306">
        <f t="shared" ca="1" si="248"/>
        <v>1.1933054278133275</v>
      </c>
      <c r="N534" s="304">
        <f t="shared" ca="1" si="249"/>
        <v>68.371364683756781</v>
      </c>
      <c r="P534" s="310">
        <f t="shared" ca="1" si="250"/>
        <v>15</v>
      </c>
      <c r="Q534" s="304">
        <f t="shared" ca="1" si="251"/>
        <v>2190.1875150376036</v>
      </c>
      <c r="R534" s="306">
        <f t="shared" ca="1" si="252"/>
        <v>1.3171221261607313</v>
      </c>
      <c r="S534" s="307">
        <f t="shared" ca="1" si="253"/>
        <v>17.055803319977464</v>
      </c>
      <c r="T534" s="304">
        <f t="shared" ca="1" si="233"/>
        <v>167.31743056897892</v>
      </c>
      <c r="U534" s="311">
        <f t="shared" ca="1" si="234"/>
        <v>0</v>
      </c>
      <c r="V534" s="306">
        <f t="shared" ca="1" si="235"/>
        <v>1.1112482979678142</v>
      </c>
      <c r="W534" s="304">
        <f t="shared" ca="1" si="236"/>
        <v>1016.7674959407937</v>
      </c>
      <c r="Y534" s="314" t="str">
        <f t="shared" ca="1" si="254"/>
        <v/>
      </c>
      <c r="Z534" s="315" t="str">
        <f t="shared" ca="1" si="255"/>
        <v/>
      </c>
      <c r="AA534" s="316" t="str">
        <f t="shared" ca="1" si="256"/>
        <v/>
      </c>
      <c r="AC534" s="310" t="e">
        <f t="shared" ca="1" si="257"/>
        <v>#N/A</v>
      </c>
      <c r="AD534" s="323" t="e">
        <f t="shared" ca="1" si="258"/>
        <v>#N/A</v>
      </c>
      <c r="AE534" s="324">
        <f t="shared" ca="1" si="237"/>
        <v>973.79805161234765</v>
      </c>
      <c r="AG534" s="306">
        <f t="shared" ca="1" si="259"/>
        <v>59.837253608200534</v>
      </c>
      <c r="AH534" s="304">
        <f t="shared" ca="1" si="260"/>
        <v>68.956884836519436</v>
      </c>
    </row>
    <row r="535" spans="1:34" x14ac:dyDescent="0.2">
      <c r="A535" s="347">
        <f t="shared" ca="1" si="238"/>
        <v>0.01</v>
      </c>
      <c r="B535" s="304">
        <f t="shared" ca="1" si="239"/>
        <v>5.3099999999999312</v>
      </c>
      <c r="D535" s="306">
        <f t="shared" ca="1" si="240"/>
        <v>25.347157987959299</v>
      </c>
      <c r="E535" s="307">
        <f t="shared" ca="1" si="241"/>
        <v>54.116250992516299</v>
      </c>
      <c r="F535" s="304">
        <f t="shared" ca="1" si="242"/>
        <v>59.758238256759128</v>
      </c>
      <c r="G535" s="306">
        <f t="shared" ca="1" si="243"/>
        <v>146.28093414764081</v>
      </c>
      <c r="H535" s="307">
        <f t="shared" ca="1" si="244"/>
        <v>368.82656272486827</v>
      </c>
      <c r="I535" s="304">
        <f t="shared" ca="1" si="245"/>
        <v>396.77593811438163</v>
      </c>
      <c r="J535" s="306">
        <f t="shared" ca="1" si="246"/>
        <v>363.08904034121286</v>
      </c>
      <c r="K535" s="307">
        <f t="shared" ca="1" si="247"/>
        <v>977.48361142704675</v>
      </c>
      <c r="L535" s="304">
        <f t="shared" ca="1" si="232"/>
        <v>1042.7405534572656</v>
      </c>
      <c r="M535" s="306">
        <f t="shared" ca="1" si="248"/>
        <v>1.1932142967839394</v>
      </c>
      <c r="N535" s="304">
        <f t="shared" ca="1" si="249"/>
        <v>68.36614326039016</v>
      </c>
      <c r="P535" s="310">
        <f t="shared" ca="1" si="250"/>
        <v>15</v>
      </c>
      <c r="Q535" s="304">
        <f t="shared" ca="1" si="251"/>
        <v>2188.7565751879797</v>
      </c>
      <c r="R535" s="306">
        <f t="shared" ca="1" si="252"/>
        <v>1.3162615959439328</v>
      </c>
      <c r="S535" s="307">
        <f t="shared" ca="1" si="253"/>
        <v>17.042640704018027</v>
      </c>
      <c r="T535" s="304">
        <f t="shared" ca="1" si="233"/>
        <v>167.18830530641685</v>
      </c>
      <c r="U535" s="311">
        <f t="shared" ca="1" si="234"/>
        <v>0</v>
      </c>
      <c r="V535" s="306">
        <f t="shared" ca="1" si="235"/>
        <v>1.1108378396400354</v>
      </c>
      <c r="W535" s="304">
        <f t="shared" ca="1" si="236"/>
        <v>1019.4548057782881</v>
      </c>
      <c r="Y535" s="314" t="str">
        <f t="shared" ca="1" si="254"/>
        <v/>
      </c>
      <c r="Z535" s="315" t="str">
        <f t="shared" ca="1" si="255"/>
        <v/>
      </c>
      <c r="AA535" s="316" t="str">
        <f t="shared" ca="1" si="256"/>
        <v/>
      </c>
      <c r="AC535" s="310" t="e">
        <f t="shared" ca="1" si="257"/>
        <v>#N/A</v>
      </c>
      <c r="AD535" s="323" t="e">
        <f t="shared" ca="1" si="258"/>
        <v>#N/A</v>
      </c>
      <c r="AE535" s="324">
        <f t="shared" ca="1" si="237"/>
        <v>977.48361142704675</v>
      </c>
      <c r="AG535" s="306">
        <f t="shared" ca="1" si="259"/>
        <v>59.648743459371566</v>
      </c>
      <c r="AH535" s="304">
        <f t="shared" ca="1" si="260"/>
        <v>68.768044788439056</v>
      </c>
    </row>
    <row r="536" spans="1:34" x14ac:dyDescent="0.2">
      <c r="A536" s="347">
        <f t="shared" ca="1" si="238"/>
        <v>0.01</v>
      </c>
      <c r="B536" s="304">
        <f t="shared" ca="1" si="239"/>
        <v>5.319999999999931</v>
      </c>
      <c r="D536" s="306">
        <f t="shared" ca="1" si="240"/>
        <v>25.283410236731076</v>
      </c>
      <c r="E536" s="307">
        <f t="shared" ca="1" si="241"/>
        <v>53.938521609551572</v>
      </c>
      <c r="F536" s="304">
        <f t="shared" ca="1" si="242"/>
        <v>59.570252195394474</v>
      </c>
      <c r="G536" s="306">
        <f t="shared" ca="1" si="243"/>
        <v>146.53376825000811</v>
      </c>
      <c r="H536" s="307">
        <f t="shared" ca="1" si="244"/>
        <v>369.36594794096379</v>
      </c>
      <c r="I536" s="304">
        <f t="shared" ca="1" si="245"/>
        <v>397.37054336711202</v>
      </c>
      <c r="J536" s="306">
        <f t="shared" ca="1" si="246"/>
        <v>364.55311385320113</v>
      </c>
      <c r="K536" s="307">
        <f t="shared" ca="1" si="247"/>
        <v>981.17457398037595</v>
      </c>
      <c r="L536" s="304">
        <f t="shared" ca="1" si="232"/>
        <v>1046.7103312023041</v>
      </c>
      <c r="M536" s="306">
        <f t="shared" ca="1" si="248"/>
        <v>1.1931232812050463</v>
      </c>
      <c r="N536" s="304">
        <f t="shared" ca="1" si="249"/>
        <v>68.360928451849645</v>
      </c>
      <c r="P536" s="310">
        <f t="shared" ca="1" si="250"/>
        <v>15</v>
      </c>
      <c r="Q536" s="304">
        <f t="shared" ca="1" si="251"/>
        <v>2187.3256353383558</v>
      </c>
      <c r="R536" s="306">
        <f t="shared" ca="1" si="252"/>
        <v>1.3154010657271344</v>
      </c>
      <c r="S536" s="307">
        <f t="shared" ca="1" si="253"/>
        <v>17.029486693360756</v>
      </c>
      <c r="T536" s="304">
        <f t="shared" ca="1" si="233"/>
        <v>167.05926446186902</v>
      </c>
      <c r="U536" s="311">
        <f t="shared" ca="1" si="234"/>
        <v>0</v>
      </c>
      <c r="V536" s="306">
        <f t="shared" ca="1" si="235"/>
        <v>1.110426924132595</v>
      </c>
      <c r="W536" s="304">
        <f t="shared" ca="1" si="236"/>
        <v>1022.1343462332925</v>
      </c>
      <c r="Y536" s="314" t="str">
        <f t="shared" ca="1" si="254"/>
        <v/>
      </c>
      <c r="Z536" s="315" t="str">
        <f t="shared" ca="1" si="255"/>
        <v/>
      </c>
      <c r="AA536" s="316" t="str">
        <f t="shared" ca="1" si="256"/>
        <v/>
      </c>
      <c r="AC536" s="310" t="e">
        <f t="shared" ca="1" si="257"/>
        <v>#N/A</v>
      </c>
      <c r="AD536" s="323" t="e">
        <f t="shared" ca="1" si="258"/>
        <v>#N/A</v>
      </c>
      <c r="AE536" s="324">
        <f t="shared" ca="1" si="237"/>
        <v>981.17457398037595</v>
      </c>
      <c r="AG536" s="306">
        <f t="shared" ca="1" si="259"/>
        <v>59.460360685424945</v>
      </c>
      <c r="AH536" s="304">
        <f t="shared" ca="1" si="260"/>
        <v>68.579332459585089</v>
      </c>
    </row>
    <row r="537" spans="1:34" x14ac:dyDescent="0.2">
      <c r="A537" s="347">
        <f t="shared" ca="1" si="238"/>
        <v>0.01</v>
      </c>
      <c r="B537" s="304">
        <f t="shared" ca="1" si="239"/>
        <v>5.3299999999999308</v>
      </c>
      <c r="D537" s="306">
        <f t="shared" ca="1" si="240"/>
        <v>25.219670991181832</v>
      </c>
      <c r="E537" s="307">
        <f t="shared" ca="1" si="241"/>
        <v>53.760928350957705</v>
      </c>
      <c r="F537" s="304">
        <f t="shared" ca="1" si="242"/>
        <v>59.382398251167551</v>
      </c>
      <c r="G537" s="306">
        <f t="shared" ca="1" si="243"/>
        <v>146.78596495991994</v>
      </c>
      <c r="H537" s="307">
        <f t="shared" ca="1" si="244"/>
        <v>369.90355722447339</v>
      </c>
      <c r="I537" s="304">
        <f t="shared" ca="1" si="245"/>
        <v>397.96326608938932</v>
      </c>
      <c r="J537" s="306">
        <f t="shared" ca="1" si="246"/>
        <v>366.01971251925079</v>
      </c>
      <c r="K537" s="307">
        <f t="shared" ca="1" si="247"/>
        <v>984.8709215062031</v>
      </c>
      <c r="L537" s="304">
        <f t="shared" ca="1" si="232"/>
        <v>1050.686043488326</v>
      </c>
      <c r="M537" s="306">
        <f t="shared" ca="1" si="248"/>
        <v>1.1930323803288669</v>
      </c>
      <c r="N537" s="304">
        <f t="shared" ca="1" si="249"/>
        <v>68.355720215290532</v>
      </c>
      <c r="P537" s="310">
        <f t="shared" ca="1" si="250"/>
        <v>15</v>
      </c>
      <c r="Q537" s="304">
        <f t="shared" ca="1" si="251"/>
        <v>2185.8946954887315</v>
      </c>
      <c r="R537" s="306">
        <f t="shared" ca="1" si="252"/>
        <v>1.3145405355103355</v>
      </c>
      <c r="S537" s="307">
        <f t="shared" ca="1" si="253"/>
        <v>17.016341288005652</v>
      </c>
      <c r="T537" s="304">
        <f t="shared" ca="1" si="233"/>
        <v>166.93030803533546</v>
      </c>
      <c r="U537" s="311">
        <f t="shared" ca="1" si="234"/>
        <v>0</v>
      </c>
      <c r="V537" s="306">
        <f t="shared" ca="1" si="235"/>
        <v>1.1100155539809722</v>
      </c>
      <c r="W537" s="304">
        <f t="shared" ca="1" si="236"/>
        <v>1024.8060847178306</v>
      </c>
      <c r="Y537" s="314" t="str">
        <f t="shared" ca="1" si="254"/>
        <v/>
      </c>
      <c r="Z537" s="315" t="str">
        <f t="shared" ca="1" si="255"/>
        <v/>
      </c>
      <c r="AA537" s="316" t="str">
        <f t="shared" ca="1" si="256"/>
        <v/>
      </c>
      <c r="AC537" s="310" t="e">
        <f t="shared" ca="1" si="257"/>
        <v>#N/A</v>
      </c>
      <c r="AD537" s="323" t="e">
        <f t="shared" ca="1" si="258"/>
        <v>#N/A</v>
      </c>
      <c r="AE537" s="324">
        <f t="shared" ca="1" si="237"/>
        <v>984.8709215062031</v>
      </c>
      <c r="AG537" s="306">
        <f t="shared" ca="1" si="259"/>
        <v>59.272107809816987</v>
      </c>
      <c r="AH537" s="304">
        <f t="shared" ca="1" si="260"/>
        <v>68.390750370982602</v>
      </c>
    </row>
    <row r="538" spans="1:34" x14ac:dyDescent="0.2">
      <c r="A538" s="347">
        <f t="shared" ca="1" si="238"/>
        <v>0.01</v>
      </c>
      <c r="B538" s="304">
        <f t="shared" ca="1" si="239"/>
        <v>5.3399999999999306</v>
      </c>
      <c r="D538" s="306">
        <f t="shared" ca="1" si="240"/>
        <v>25.155941318903739</v>
      </c>
      <c r="E538" s="307">
        <f t="shared" ca="1" si="241"/>
        <v>53.583473495462727</v>
      </c>
      <c r="F538" s="304">
        <f t="shared" ca="1" si="242"/>
        <v>59.194678945654267</v>
      </c>
      <c r="G538" s="306">
        <f t="shared" ca="1" si="243"/>
        <v>147.03752437310897</v>
      </c>
      <c r="H538" s="307">
        <f t="shared" ca="1" si="244"/>
        <v>370.43939195942801</v>
      </c>
      <c r="I538" s="304">
        <f t="shared" ca="1" si="245"/>
        <v>398.55410760528281</v>
      </c>
      <c r="J538" s="306">
        <f t="shared" ca="1" si="246"/>
        <v>367.48882996591595</v>
      </c>
      <c r="K538" s="307">
        <f t="shared" ca="1" si="247"/>
        <v>988.57263625212261</v>
      </c>
      <c r="L538" s="304">
        <f t="shared" ca="1" si="232"/>
        <v>1054.6676714947648</v>
      </c>
      <c r="M538" s="306">
        <f t="shared" ca="1" si="248"/>
        <v>1.1929415934127101</v>
      </c>
      <c r="N538" s="304">
        <f t="shared" ca="1" si="249"/>
        <v>68.350518508159738</v>
      </c>
      <c r="P538" s="310">
        <f t="shared" ca="1" si="250"/>
        <v>15</v>
      </c>
      <c r="Q538" s="304">
        <f t="shared" ca="1" si="251"/>
        <v>2184.4637556391076</v>
      </c>
      <c r="R538" s="306">
        <f t="shared" ca="1" si="252"/>
        <v>1.3136800052935371</v>
      </c>
      <c r="S538" s="307">
        <f t="shared" ca="1" si="253"/>
        <v>17.003204487952715</v>
      </c>
      <c r="T538" s="304">
        <f t="shared" ca="1" si="233"/>
        <v>166.80143602681613</v>
      </c>
      <c r="U538" s="311">
        <f t="shared" ca="1" si="234"/>
        <v>0</v>
      </c>
      <c r="V538" s="306">
        <f t="shared" ca="1" si="235"/>
        <v>1.1096037317166418</v>
      </c>
      <c r="W538" s="304">
        <f t="shared" ca="1" si="236"/>
        <v>1027.4699890419411</v>
      </c>
      <c r="Y538" s="314" t="str">
        <f t="shared" ca="1" si="254"/>
        <v/>
      </c>
      <c r="Z538" s="315" t="str">
        <f t="shared" ca="1" si="255"/>
        <v/>
      </c>
      <c r="AA538" s="316" t="str">
        <f t="shared" ca="1" si="256"/>
        <v/>
      </c>
      <c r="AC538" s="310" t="e">
        <f t="shared" ca="1" si="257"/>
        <v>#N/A</v>
      </c>
      <c r="AD538" s="323" t="e">
        <f t="shared" ca="1" si="258"/>
        <v>#N/A</v>
      </c>
      <c r="AE538" s="324">
        <f t="shared" ca="1" si="237"/>
        <v>988.57263625212261</v>
      </c>
      <c r="AG538" s="306">
        <f t="shared" ca="1" si="259"/>
        <v>59.083987339936741</v>
      </c>
      <c r="AH538" s="304">
        <f t="shared" ca="1" si="260"/>
        <v>68.202301027605102</v>
      </c>
    </row>
    <row r="539" spans="1:34" x14ac:dyDescent="0.2">
      <c r="A539" s="347">
        <f t="shared" ca="1" si="238"/>
        <v>0.01</v>
      </c>
      <c r="B539" s="304">
        <f t="shared" ca="1" si="239"/>
        <v>5.3499999999999304</v>
      </c>
      <c r="D539" s="306">
        <f t="shared" ca="1" si="240"/>
        <v>25.092222281454912</v>
      </c>
      <c r="E539" s="307">
        <f t="shared" ca="1" si="241"/>
        <v>53.406159306834176</v>
      </c>
      <c r="F539" s="304">
        <f t="shared" ca="1" si="242"/>
        <v>59.007096784445288</v>
      </c>
      <c r="G539" s="306">
        <f t="shared" ca="1" si="243"/>
        <v>147.28844659592352</v>
      </c>
      <c r="H539" s="307">
        <f t="shared" ca="1" si="244"/>
        <v>370.97345355249632</v>
      </c>
      <c r="I539" s="304">
        <f t="shared" ca="1" si="245"/>
        <v>399.14306926377458</v>
      </c>
      <c r="J539" s="306">
        <f t="shared" ca="1" si="246"/>
        <v>368.96045982076112</v>
      </c>
      <c r="K539" s="307">
        <f t="shared" ca="1" si="247"/>
        <v>992.27970047968222</v>
      </c>
      <c r="L539" s="304">
        <f t="shared" ca="1" si="232"/>
        <v>1058.6551964143923</v>
      </c>
      <c r="M539" s="306">
        <f t="shared" ca="1" si="248"/>
        <v>1.1928509197189279</v>
      </c>
      <c r="N539" s="304">
        <f t="shared" ca="1" si="249"/>
        <v>68.345323288193157</v>
      </c>
      <c r="P539" s="310">
        <f t="shared" ca="1" si="250"/>
        <v>15</v>
      </c>
      <c r="Q539" s="304">
        <f t="shared" ca="1" si="251"/>
        <v>2183.0328157894837</v>
      </c>
      <c r="R539" s="306">
        <f t="shared" ca="1" si="252"/>
        <v>1.3128194750767386</v>
      </c>
      <c r="S539" s="307">
        <f t="shared" ca="1" si="253"/>
        <v>16.990076293201948</v>
      </c>
      <c r="T539" s="304">
        <f t="shared" ca="1" si="233"/>
        <v>166.67264843631111</v>
      </c>
      <c r="U539" s="311">
        <f t="shared" ca="1" si="234"/>
        <v>0</v>
      </c>
      <c r="V539" s="306">
        <f t="shared" ca="1" si="235"/>
        <v>1.1091914598670451</v>
      </c>
      <c r="W539" s="304">
        <f t="shared" ca="1" si="236"/>
        <v>1030.1260274128645</v>
      </c>
      <c r="Y539" s="314" t="str">
        <f t="shared" ca="1" si="254"/>
        <v/>
      </c>
      <c r="Z539" s="315" t="str">
        <f t="shared" ca="1" si="255"/>
        <v/>
      </c>
      <c r="AA539" s="316" t="str">
        <f t="shared" ca="1" si="256"/>
        <v/>
      </c>
      <c r="AC539" s="310" t="e">
        <f t="shared" ca="1" si="257"/>
        <v>#N/A</v>
      </c>
      <c r="AD539" s="323" t="e">
        <f t="shared" ca="1" si="258"/>
        <v>#N/A</v>
      </c>
      <c r="AE539" s="324">
        <f t="shared" ca="1" si="237"/>
        <v>992.27970047968222</v>
      </c>
      <c r="AG539" s="306">
        <f t="shared" ca="1" si="259"/>
        <v>58.896001767077912</v>
      </c>
      <c r="AH539" s="304">
        <f t="shared" ca="1" si="260"/>
        <v>68.013986918346291</v>
      </c>
    </row>
    <row r="540" spans="1:34" x14ac:dyDescent="0.2">
      <c r="A540" s="347">
        <f t="shared" ca="1" si="238"/>
        <v>0.01</v>
      </c>
      <c r="B540" s="304">
        <f t="shared" ca="1" si="239"/>
        <v>5.3599999999999302</v>
      </c>
      <c r="D540" s="306">
        <f t="shared" ca="1" si="240"/>
        <v>25.028514934348529</v>
      </c>
      <c r="E540" s="307">
        <f t="shared" ca="1" si="241"/>
        <v>53.228988033854925</v>
      </c>
      <c r="F540" s="304">
        <f t="shared" ca="1" si="242"/>
        <v>58.819654257120369</v>
      </c>
      <c r="G540" s="306">
        <f t="shared" ca="1" si="243"/>
        <v>147.538731745267</v>
      </c>
      <c r="H540" s="307">
        <f t="shared" ca="1" si="244"/>
        <v>371.50574343283489</v>
      </c>
      <c r="I540" s="304">
        <f t="shared" ca="1" si="245"/>
        <v>399.73015243859845</v>
      </c>
      <c r="J540" s="306">
        <f t="shared" ca="1" si="246"/>
        <v>370.43459571246706</v>
      </c>
      <c r="K540" s="307">
        <f t="shared" ca="1" si="247"/>
        <v>995.99209646460884</v>
      </c>
      <c r="L540" s="304">
        <f t="shared" ca="1" si="232"/>
        <v>1062.648599453566</v>
      </c>
      <c r="M540" s="306">
        <f t="shared" ca="1" si="248"/>
        <v>1.1927603585148709</v>
      </c>
      <c r="N540" s="304">
        <f t="shared" ca="1" si="249"/>
        <v>68.340134513413062</v>
      </c>
      <c r="P540" s="310">
        <f t="shared" ca="1" si="250"/>
        <v>15</v>
      </c>
      <c r="Q540" s="304">
        <f t="shared" ca="1" si="251"/>
        <v>2181.6018759398594</v>
      </c>
      <c r="R540" s="306">
        <f t="shared" ca="1" si="252"/>
        <v>1.3119589448599398</v>
      </c>
      <c r="S540" s="307">
        <f t="shared" ca="1" si="253"/>
        <v>16.976956703753348</v>
      </c>
      <c r="T540" s="304">
        <f t="shared" ca="1" si="233"/>
        <v>166.54394526382035</v>
      </c>
      <c r="U540" s="311">
        <f t="shared" ca="1" si="234"/>
        <v>0</v>
      </c>
      <c r="V540" s="306">
        <f t="shared" ca="1" si="235"/>
        <v>1.1087787409555572</v>
      </c>
      <c r="W540" s="304">
        <f t="shared" ca="1" si="236"/>
        <v>1032.7741684342118</v>
      </c>
      <c r="Y540" s="314" t="str">
        <f t="shared" ca="1" si="254"/>
        <v/>
      </c>
      <c r="Z540" s="315" t="str">
        <f t="shared" ca="1" si="255"/>
        <v/>
      </c>
      <c r="AA540" s="316" t="str">
        <f t="shared" ca="1" si="256"/>
        <v/>
      </c>
      <c r="AC540" s="310" t="e">
        <f t="shared" ca="1" si="257"/>
        <v>#N/A</v>
      </c>
      <c r="AD540" s="323" t="e">
        <f t="shared" ca="1" si="258"/>
        <v>#N/A</v>
      </c>
      <c r="AE540" s="324">
        <f t="shared" ca="1" si="237"/>
        <v>995.99209646460884</v>
      </c>
      <c r="AG540" s="306">
        <f t="shared" ca="1" si="259"/>
        <v>58.708153566412072</v>
      </c>
      <c r="AH540" s="304">
        <f t="shared" ca="1" si="260"/>
        <v>67.825810515993183</v>
      </c>
    </row>
    <row r="541" spans="1:34" x14ac:dyDescent="0.2">
      <c r="A541" s="347">
        <f t="shared" ca="1" si="238"/>
        <v>0.01</v>
      </c>
      <c r="B541" s="304">
        <f t="shared" ca="1" si="239"/>
        <v>5.3699999999999299</v>
      </c>
      <c r="D541" s="306">
        <f t="shared" ca="1" si="240"/>
        <v>24.964820327042151</v>
      </c>
      <c r="E541" s="307">
        <f t="shared" ca="1" si="241"/>
        <v>53.051961910299987</v>
      </c>
      <c r="F541" s="304">
        <f t="shared" ca="1" si="242"/>
        <v>58.632353837223846</v>
      </c>
      <c r="G541" s="306">
        <f t="shared" ca="1" si="243"/>
        <v>147.78837994853743</v>
      </c>
      <c r="H541" s="307">
        <f t="shared" ca="1" si="244"/>
        <v>372.03626305193791</v>
      </c>
      <c r="I541" s="304">
        <f t="shared" ca="1" si="245"/>
        <v>400.31535852807849</v>
      </c>
      <c r="J541" s="306">
        <f t="shared" ca="1" si="246"/>
        <v>371.91123127093607</v>
      </c>
      <c r="K541" s="307">
        <f t="shared" ca="1" si="247"/>
        <v>999.70980649703267</v>
      </c>
      <c r="L541" s="304">
        <f t="shared" ca="1" si="232"/>
        <v>1066.6478618324786</v>
      </c>
      <c r="M541" s="306">
        <f t="shared" ca="1" si="248"/>
        <v>1.1926699090728432</v>
      </c>
      <c r="N541" s="304">
        <f t="shared" ca="1" si="249"/>
        <v>68.334952142125573</v>
      </c>
      <c r="P541" s="310">
        <f t="shared" ca="1" si="250"/>
        <v>15</v>
      </c>
      <c r="Q541" s="304">
        <f t="shared" ca="1" si="251"/>
        <v>2180.1709360902355</v>
      </c>
      <c r="R541" s="306">
        <f t="shared" ca="1" si="252"/>
        <v>1.3110984146431413</v>
      </c>
      <c r="S541" s="307">
        <f t="shared" ca="1" si="253"/>
        <v>16.963845719606915</v>
      </c>
      <c r="T541" s="304">
        <f t="shared" ca="1" si="233"/>
        <v>166.41532650934386</v>
      </c>
      <c r="U541" s="311">
        <f t="shared" ca="1" si="234"/>
        <v>0</v>
      </c>
      <c r="V541" s="306">
        <f t="shared" ca="1" si="235"/>
        <v>1.1083655775014589</v>
      </c>
      <c r="W541" s="304">
        <f t="shared" ca="1" si="236"/>
        <v>1035.4143811051104</v>
      </c>
      <c r="Y541" s="314" t="str">
        <f t="shared" ca="1" si="254"/>
        <v/>
      </c>
      <c r="Z541" s="315" t="str">
        <f t="shared" ca="1" si="255"/>
        <v/>
      </c>
      <c r="AA541" s="316" t="str">
        <f t="shared" ca="1" si="256"/>
        <v/>
      </c>
      <c r="AC541" s="310" t="e">
        <f t="shared" ca="1" si="257"/>
        <v>#N/A</v>
      </c>
      <c r="AD541" s="323" t="e">
        <f t="shared" ca="1" si="258"/>
        <v>#N/A</v>
      </c>
      <c r="AE541" s="324">
        <f t="shared" ca="1" si="237"/>
        <v>999.70980649703267</v>
      </c>
      <c r="AG541" s="306">
        <f t="shared" ca="1" si="259"/>
        <v>58.520445196963067</v>
      </c>
      <c r="AH541" s="304">
        <f t="shared" ca="1" si="260"/>
        <v>67.637774277200336</v>
      </c>
    </row>
    <row r="542" spans="1:34" x14ac:dyDescent="0.2">
      <c r="A542" s="347">
        <f t="shared" ca="1" si="238"/>
        <v>0.01</v>
      </c>
      <c r="B542" s="304">
        <f t="shared" ca="1" si="239"/>
        <v>5.3799999999999297</v>
      </c>
      <c r="D542" s="306">
        <f t="shared" ca="1" si="240"/>
        <v>24.901139502927535</v>
      </c>
      <c r="E542" s="307">
        <f t="shared" ca="1" si="241"/>
        <v>52.875083154914392</v>
      </c>
      <c r="F542" s="304">
        <f t="shared" ca="1" si="242"/>
        <v>58.445197982241197</v>
      </c>
      <c r="G542" s="306">
        <f t="shared" ca="1" si="243"/>
        <v>148.0373913435667</v>
      </c>
      <c r="H542" s="307">
        <f t="shared" ca="1" si="244"/>
        <v>372.56501388348704</v>
      </c>
      <c r="I542" s="304">
        <f t="shared" ca="1" si="245"/>
        <v>400.89868895496676</v>
      </c>
      <c r="J542" s="306">
        <f t="shared" ca="1" si="246"/>
        <v>373.3903601273966</v>
      </c>
      <c r="K542" s="307">
        <f t="shared" ca="1" si="247"/>
        <v>1003.4328128817098</v>
      </c>
      <c r="L542" s="304">
        <f t="shared" ca="1" si="232"/>
        <v>1070.6529647854002</v>
      </c>
      <c r="M542" s="306">
        <f t="shared" ca="1" si="248"/>
        <v>1.1925795706700573</v>
      </c>
      <c r="N542" s="304">
        <f t="shared" ca="1" si="249"/>
        <v>68.329776132917985</v>
      </c>
      <c r="P542" s="310">
        <f t="shared" ca="1" si="250"/>
        <v>15</v>
      </c>
      <c r="Q542" s="304">
        <f t="shared" ca="1" si="251"/>
        <v>2178.7399962406116</v>
      </c>
      <c r="R542" s="306">
        <f t="shared" ca="1" si="252"/>
        <v>1.3102378844263427</v>
      </c>
      <c r="S542" s="307">
        <f t="shared" ca="1" si="253"/>
        <v>16.950743340762653</v>
      </c>
      <c r="T542" s="304">
        <f t="shared" ca="1" si="233"/>
        <v>166.28679217288163</v>
      </c>
      <c r="U542" s="311">
        <f t="shared" ca="1" si="234"/>
        <v>0</v>
      </c>
      <c r="V542" s="306">
        <f t="shared" ca="1" si="235"/>
        <v>1.1079519720199067</v>
      </c>
      <c r="W542" s="304">
        <f t="shared" ca="1" si="236"/>
        <v>1038.0466348193283</v>
      </c>
      <c r="Y542" s="314" t="str">
        <f t="shared" ca="1" si="254"/>
        <v/>
      </c>
      <c r="Z542" s="315" t="str">
        <f t="shared" ca="1" si="255"/>
        <v/>
      </c>
      <c r="AA542" s="316" t="str">
        <f t="shared" ca="1" si="256"/>
        <v/>
      </c>
      <c r="AC542" s="310" t="e">
        <f t="shared" ca="1" si="257"/>
        <v>#N/A</v>
      </c>
      <c r="AD542" s="323" t="e">
        <f t="shared" ca="1" si="258"/>
        <v>#N/A</v>
      </c>
      <c r="AE542" s="324">
        <f t="shared" ca="1" si="237"/>
        <v>1003.4328128817098</v>
      </c>
      <c r="AG542" s="306">
        <f t="shared" ca="1" si="259"/>
        <v>58.332879101582392</v>
      </c>
      <c r="AH542" s="304">
        <f t="shared" ca="1" si="260"/>
        <v>67.449880642465118</v>
      </c>
    </row>
    <row r="543" spans="1:34" x14ac:dyDescent="0.2">
      <c r="A543" s="347">
        <f t="shared" ca="1" si="238"/>
        <v>0.01</v>
      </c>
      <c r="B543" s="304">
        <f t="shared" ca="1" si="239"/>
        <v>5.3899999999999295</v>
      </c>
      <c r="D543" s="306">
        <f t="shared" ca="1" si="240"/>
        <v>24.837473499320893</v>
      </c>
      <c r="E543" s="307">
        <f t="shared" ca="1" si="241"/>
        <v>52.698353971392521</v>
      </c>
      <c r="F543" s="304">
        <f t="shared" ca="1" si="242"/>
        <v>58.258189133577169</v>
      </c>
      <c r="G543" s="306">
        <f t="shared" ca="1" si="243"/>
        <v>148.2857660785599</v>
      </c>
      <c r="H543" s="307">
        <f t="shared" ca="1" si="244"/>
        <v>373.09199742320095</v>
      </c>
      <c r="I543" s="304">
        <f t="shared" ca="1" si="245"/>
        <v>401.4801451662824</v>
      </c>
      <c r="J543" s="306">
        <f t="shared" ca="1" si="246"/>
        <v>374.87197591450723</v>
      </c>
      <c r="K543" s="307">
        <f t="shared" ca="1" si="247"/>
        <v>1007.1610979382432</v>
      </c>
      <c r="L543" s="304">
        <f t="shared" ca="1" si="232"/>
        <v>1074.6638895609242</v>
      </c>
      <c r="M543" s="306">
        <f t="shared" ca="1" si="248"/>
        <v>1.1924893425885921</v>
      </c>
      <c r="N543" s="304">
        <f t="shared" ca="1" si="249"/>
        <v>68.324606444656467</v>
      </c>
      <c r="P543" s="310">
        <f t="shared" ca="1" si="250"/>
        <v>15</v>
      </c>
      <c r="Q543" s="304">
        <f t="shared" ca="1" si="251"/>
        <v>2177.3090563909877</v>
      </c>
      <c r="R543" s="306">
        <f t="shared" ca="1" si="252"/>
        <v>1.3093773542095442</v>
      </c>
      <c r="S543" s="307">
        <f t="shared" ca="1" si="253"/>
        <v>16.937649567220557</v>
      </c>
      <c r="T543" s="304">
        <f t="shared" ca="1" si="233"/>
        <v>166.15834225443368</v>
      </c>
      <c r="U543" s="311">
        <f t="shared" ca="1" si="234"/>
        <v>0</v>
      </c>
      <c r="V543" s="306">
        <f t="shared" ca="1" si="235"/>
        <v>1.1075379270219015</v>
      </c>
      <c r="W543" s="304">
        <f t="shared" ca="1" si="236"/>
        <v>1040.6708993643849</v>
      </c>
      <c r="Y543" s="314" t="str">
        <f t="shared" ca="1" si="254"/>
        <v/>
      </c>
      <c r="Z543" s="315" t="str">
        <f t="shared" ca="1" si="255"/>
        <v/>
      </c>
      <c r="AA543" s="316" t="str">
        <f t="shared" ca="1" si="256"/>
        <v/>
      </c>
      <c r="AC543" s="310" t="e">
        <f t="shared" ca="1" si="257"/>
        <v>#N/A</v>
      </c>
      <c r="AD543" s="323" t="e">
        <f t="shared" ca="1" si="258"/>
        <v>#N/A</v>
      </c>
      <c r="AE543" s="324">
        <f t="shared" ca="1" si="237"/>
        <v>1007.1610979382432</v>
      </c>
      <c r="AG543" s="306">
        <f t="shared" ca="1" si="259"/>
        <v>58.145457706926251</v>
      </c>
      <c r="AH543" s="304">
        <f t="shared" ca="1" si="260"/>
        <v>67.262132036104617</v>
      </c>
    </row>
    <row r="544" spans="1:34" x14ac:dyDescent="0.2">
      <c r="A544" s="347">
        <f t="shared" ca="1" si="238"/>
        <v>0.01</v>
      </c>
      <c r="B544" s="304">
        <f t="shared" ca="1" si="239"/>
        <v>5.3999999999999293</v>
      </c>
      <c r="D544" s="306">
        <f t="shared" ca="1" si="240"/>
        <v>24.773823347453352</v>
      </c>
      <c r="E544" s="307">
        <f t="shared" ca="1" si="241"/>
        <v>52.521776548358147</v>
      </c>
      <c r="F544" s="304">
        <f t="shared" ca="1" si="242"/>
        <v>58.071329716534727</v>
      </c>
      <c r="G544" s="306">
        <f t="shared" ca="1" si="243"/>
        <v>148.53350431203444</v>
      </c>
      <c r="H544" s="307">
        <f t="shared" ca="1" si="244"/>
        <v>373.61721518868455</v>
      </c>
      <c r="I544" s="304">
        <f t="shared" ca="1" si="245"/>
        <v>402.0597286331485</v>
      </c>
      <c r="J544" s="306">
        <f t="shared" ca="1" si="246"/>
        <v>376.35607226646022</v>
      </c>
      <c r="K544" s="307">
        <f t="shared" ca="1" si="247"/>
        <v>1010.8946440013026</v>
      </c>
      <c r="L544" s="304">
        <f t="shared" ca="1" si="232"/>
        <v>1078.6806174222086</v>
      </c>
      <c r="M544" s="306">
        <f t="shared" ca="1" si="248"/>
        <v>1.1923992241153474</v>
      </c>
      <c r="N544" s="304">
        <f t="shared" ca="1" si="249"/>
        <v>68.319443036483378</v>
      </c>
      <c r="P544" s="310">
        <f t="shared" ca="1" si="250"/>
        <v>15</v>
      </c>
      <c r="Q544" s="304">
        <f t="shared" ca="1" si="251"/>
        <v>2175.8781165413634</v>
      </c>
      <c r="R544" s="306">
        <f t="shared" ca="1" si="252"/>
        <v>1.3085168239927454</v>
      </c>
      <c r="S544" s="307">
        <f t="shared" ca="1" si="253"/>
        <v>16.924564398980628</v>
      </c>
      <c r="T544" s="304">
        <f t="shared" ca="1" si="233"/>
        <v>166.02997675399996</v>
      </c>
      <c r="U544" s="311">
        <f t="shared" ca="1" si="234"/>
        <v>0</v>
      </c>
      <c r="V544" s="306">
        <f t="shared" ca="1" si="235"/>
        <v>1.1071234450142609</v>
      </c>
      <c r="W544" s="304">
        <f t="shared" ca="1" si="236"/>
        <v>1043.2871449206332</v>
      </c>
      <c r="Y544" s="314" t="str">
        <f t="shared" ca="1" si="254"/>
        <v/>
      </c>
      <c r="Z544" s="315" t="str">
        <f t="shared" ca="1" si="255"/>
        <v/>
      </c>
      <c r="AA544" s="316" t="str">
        <f t="shared" ca="1" si="256"/>
        <v/>
      </c>
      <c r="AC544" s="310" t="e">
        <f t="shared" ca="1" si="257"/>
        <v>#N/A</v>
      </c>
      <c r="AD544" s="323" t="e">
        <f t="shared" ca="1" si="258"/>
        <v>#N/A</v>
      </c>
      <c r="AE544" s="324">
        <f t="shared" ca="1" si="237"/>
        <v>1010.8946440013026</v>
      </c>
      <c r="AG544" s="306">
        <f t="shared" ca="1" si="259"/>
        <v>57.958183423433269</v>
      </c>
      <c r="AH544" s="304">
        <f t="shared" ca="1" si="260"/>
        <v>67.074530866233246</v>
      </c>
    </row>
    <row r="545" spans="1:34" x14ac:dyDescent="0.2">
      <c r="A545" s="347">
        <f t="shared" ca="1" si="238"/>
        <v>0.01</v>
      </c>
      <c r="B545" s="304">
        <f t="shared" ca="1" si="239"/>
        <v>5.4099999999999291</v>
      </c>
      <c r="D545" s="306">
        <f t="shared" ca="1" si="240"/>
        <v>24.710190072462165</v>
      </c>
      <c r="E545" s="307">
        <f t="shared" ca="1" si="241"/>
        <v>52.345353059345996</v>
      </c>
      <c r="F545" s="304">
        <f t="shared" ca="1" si="242"/>
        <v>57.884622140295527</v>
      </c>
      <c r="G545" s="306">
        <f t="shared" ca="1" si="243"/>
        <v>148.78060621275907</v>
      </c>
      <c r="H545" s="307">
        <f t="shared" ca="1" si="244"/>
        <v>374.14066871927804</v>
      </c>
      <c r="I545" s="304">
        <f t="shared" ca="1" si="245"/>
        <v>402.63744085063007</v>
      </c>
      <c r="J545" s="306">
        <f t="shared" ca="1" si="246"/>
        <v>377.84264281908418</v>
      </c>
      <c r="K545" s="307">
        <f t="shared" ca="1" si="247"/>
        <v>1014.6334334208424</v>
      </c>
      <c r="L545" s="304">
        <f t="shared" ca="1" si="232"/>
        <v>1082.7031296472164</v>
      </c>
      <c r="M545" s="306">
        <f t="shared" ca="1" si="248"/>
        <v>1.1923092145420031</v>
      </c>
      <c r="N545" s="304">
        <f t="shared" ca="1" si="249"/>
        <v>68.314285867814974</v>
      </c>
      <c r="P545" s="310">
        <f t="shared" ca="1" si="250"/>
        <v>15</v>
      </c>
      <c r="Q545" s="304">
        <f t="shared" ca="1" si="251"/>
        <v>2174.4471766917395</v>
      </c>
      <c r="R545" s="306">
        <f t="shared" ca="1" si="252"/>
        <v>1.3076562937759468</v>
      </c>
      <c r="S545" s="307">
        <f t="shared" ca="1" si="253"/>
        <v>16.91148783604287</v>
      </c>
      <c r="T545" s="304">
        <f t="shared" ca="1" si="233"/>
        <v>165.90169567158057</v>
      </c>
      <c r="U545" s="311">
        <f t="shared" ca="1" si="234"/>
        <v>0</v>
      </c>
      <c r="V545" s="306">
        <f t="shared" ca="1" si="235"/>
        <v>1.1067085284995899</v>
      </c>
      <c r="W545" s="304">
        <f t="shared" ca="1" si="236"/>
        <v>1045.8953420603286</v>
      </c>
      <c r="Y545" s="314" t="str">
        <f t="shared" ca="1" si="254"/>
        <v/>
      </c>
      <c r="Z545" s="315" t="str">
        <f t="shared" ca="1" si="255"/>
        <v/>
      </c>
      <c r="AA545" s="316" t="str">
        <f t="shared" ca="1" si="256"/>
        <v/>
      </c>
      <c r="AC545" s="310" t="e">
        <f t="shared" ca="1" si="257"/>
        <v>#N/A</v>
      </c>
      <c r="AD545" s="323" t="e">
        <f t="shared" ca="1" si="258"/>
        <v>#N/A</v>
      </c>
      <c r="AE545" s="324">
        <f t="shared" ca="1" si="237"/>
        <v>1014.6334334208424</v>
      </c>
      <c r="AG545" s="306">
        <f t="shared" ca="1" si="259"/>
        <v>57.771058645303896</v>
      </c>
      <c r="AH545" s="304">
        <f t="shared" ca="1" si="260"/>
        <v>66.887079524741992</v>
      </c>
    </row>
    <row r="546" spans="1:34" x14ac:dyDescent="0.2">
      <c r="A546" s="347">
        <f t="shared" ca="1" si="238"/>
        <v>0.01</v>
      </c>
      <c r="B546" s="304">
        <f t="shared" ca="1" si="239"/>
        <v>5.4199999999999289</v>
      </c>
      <c r="D546" s="306">
        <f t="shared" ca="1" si="240"/>
        <v>24.646574693381908</v>
      </c>
      <c r="E546" s="307">
        <f t="shared" ca="1" si="241"/>
        <v>52.169085662784099</v>
      </c>
      <c r="F546" s="304">
        <f t="shared" ca="1" si="242"/>
        <v>57.698068797901364</v>
      </c>
      <c r="G546" s="306">
        <f t="shared" ca="1" si="243"/>
        <v>149.02707195969288</v>
      </c>
      <c r="H546" s="307">
        <f t="shared" ca="1" si="244"/>
        <v>374.6623595759059</v>
      </c>
      <c r="I546" s="304">
        <f t="shared" ca="1" si="245"/>
        <v>403.21328333757174</v>
      </c>
      <c r="J546" s="306">
        <f t="shared" ca="1" si="246"/>
        <v>379.33168120994645</v>
      </c>
      <c r="K546" s="307">
        <f t="shared" ca="1" si="247"/>
        <v>1018.3774485623182</v>
      </c>
      <c r="L546" s="304">
        <f t="shared" ca="1" si="232"/>
        <v>1086.7314075289542</v>
      </c>
      <c r="M546" s="306">
        <f t="shared" ca="1" si="248"/>
        <v>1.1922193131649752</v>
      </c>
      <c r="N546" s="304">
        <f t="shared" ca="1" si="249"/>
        <v>68.309134898338868</v>
      </c>
      <c r="P546" s="310">
        <f t="shared" ca="1" si="250"/>
        <v>15</v>
      </c>
      <c r="Q546" s="304">
        <f t="shared" ca="1" si="251"/>
        <v>2173.0162368421156</v>
      </c>
      <c r="R546" s="306">
        <f t="shared" ca="1" si="252"/>
        <v>1.3067957635591483</v>
      </c>
      <c r="S546" s="307">
        <f t="shared" ca="1" si="253"/>
        <v>16.898419878407278</v>
      </c>
      <c r="T546" s="304">
        <f t="shared" ca="1" si="233"/>
        <v>165.77349900717542</v>
      </c>
      <c r="U546" s="311">
        <f t="shared" ca="1" si="234"/>
        <v>0</v>
      </c>
      <c r="V546" s="306">
        <f t="shared" ca="1" si="235"/>
        <v>1.1062931799762528</v>
      </c>
      <c r="W546" s="304">
        <f t="shared" ca="1" si="236"/>
        <v>1048.4954617466788</v>
      </c>
      <c r="Y546" s="314" t="str">
        <f t="shared" ca="1" si="254"/>
        <v/>
      </c>
      <c r="Z546" s="315" t="str">
        <f t="shared" ca="1" si="255"/>
        <v/>
      </c>
      <c r="AA546" s="316" t="str">
        <f t="shared" ca="1" si="256"/>
        <v/>
      </c>
      <c r="AC546" s="310" t="e">
        <f t="shared" ca="1" si="257"/>
        <v>#N/A</v>
      </c>
      <c r="AD546" s="323" t="e">
        <f t="shared" ca="1" si="258"/>
        <v>#N/A</v>
      </c>
      <c r="AE546" s="324">
        <f t="shared" ca="1" si="237"/>
        <v>1018.3774485623182</v>
      </c>
      <c r="AG546" s="306">
        <f t="shared" ca="1" si="259"/>
        <v>57.584085750480611</v>
      </c>
      <c r="AH546" s="304">
        <f t="shared" ca="1" si="260"/>
        <v>66.699780387278508</v>
      </c>
    </row>
    <row r="547" spans="1:34" x14ac:dyDescent="0.2">
      <c r="A547" s="347">
        <f t="shared" ca="1" si="238"/>
        <v>0.01</v>
      </c>
      <c r="B547" s="304">
        <f t="shared" ca="1" si="239"/>
        <v>5.4299999999999287</v>
      </c>
      <c r="D547" s="306">
        <f t="shared" ca="1" si="240"/>
        <v>24.582978223136347</v>
      </c>
      <c r="E547" s="307">
        <f t="shared" ca="1" si="241"/>
        <v>51.99297650197726</v>
      </c>
      <c r="F547" s="304">
        <f t="shared" ca="1" si="242"/>
        <v>57.511672066236741</v>
      </c>
      <c r="G547" s="306">
        <f t="shared" ca="1" si="243"/>
        <v>149.27290174192424</v>
      </c>
      <c r="H547" s="307">
        <f t="shared" ca="1" si="244"/>
        <v>375.18228934092565</v>
      </c>
      <c r="I547" s="304">
        <f t="shared" ca="1" si="245"/>
        <v>403.78725763643439</v>
      </c>
      <c r="J547" s="306">
        <f t="shared" ca="1" si="246"/>
        <v>380.82318107845452</v>
      </c>
      <c r="K547" s="307">
        <f t="shared" ca="1" si="247"/>
        <v>1022.1266718069024</v>
      </c>
      <c r="L547" s="304">
        <f t="shared" ca="1" si="232"/>
        <v>1090.7654323757097</v>
      </c>
      <c r="M547" s="306">
        <f t="shared" ca="1" si="248"/>
        <v>1.1921295192853747</v>
      </c>
      <c r="N547" s="304">
        <f t="shared" ca="1" si="249"/>
        <v>68.303990088011645</v>
      </c>
      <c r="P547" s="310">
        <f t="shared" ca="1" si="250"/>
        <v>15</v>
      </c>
      <c r="Q547" s="304">
        <f t="shared" ca="1" si="251"/>
        <v>2171.5852969924913</v>
      </c>
      <c r="R547" s="306">
        <f t="shared" ca="1" si="252"/>
        <v>1.3059352333423495</v>
      </c>
      <c r="S547" s="307">
        <f t="shared" ca="1" si="253"/>
        <v>16.885360526073853</v>
      </c>
      <c r="T547" s="304">
        <f t="shared" ca="1" si="233"/>
        <v>165.6453867607845</v>
      </c>
      <c r="U547" s="311">
        <f t="shared" ca="1" si="234"/>
        <v>0</v>
      </c>
      <c r="V547" s="306">
        <f t="shared" ca="1" si="235"/>
        <v>1.1058774019383424</v>
      </c>
      <c r="W547" s="304">
        <f t="shared" ca="1" si="236"/>
        <v>1051.0874753328669</v>
      </c>
      <c r="Y547" s="314" t="str">
        <f t="shared" ca="1" si="254"/>
        <v/>
      </c>
      <c r="Z547" s="315" t="str">
        <f t="shared" ca="1" si="255"/>
        <v/>
      </c>
      <c r="AA547" s="316" t="str">
        <f t="shared" ca="1" si="256"/>
        <v/>
      </c>
      <c r="AC547" s="310" t="e">
        <f t="shared" ca="1" si="257"/>
        <v>#N/A</v>
      </c>
      <c r="AD547" s="323" t="e">
        <f t="shared" ca="1" si="258"/>
        <v>#N/A</v>
      </c>
      <c r="AE547" s="324">
        <f t="shared" ca="1" si="237"/>
        <v>1022.1266718069024</v>
      </c>
      <c r="AG547" s="306">
        <f t="shared" ca="1" si="259"/>
        <v>57.397267100629321</v>
      </c>
      <c r="AH547" s="304">
        <f t="shared" ca="1" si="260"/>
        <v>66.512635813228371</v>
      </c>
    </row>
    <row r="548" spans="1:34" x14ac:dyDescent="0.2">
      <c r="A548" s="347">
        <f t="shared" ca="1" si="238"/>
        <v>0.01</v>
      </c>
      <c r="B548" s="304">
        <f t="shared" ca="1" si="239"/>
        <v>5.4399999999999284</v>
      </c>
      <c r="D548" s="306">
        <f t="shared" ca="1" si="240"/>
        <v>24.519401668530723</v>
      </c>
      <c r="E548" s="307">
        <f t="shared" ca="1" si="241"/>
        <v>51.817027705092173</v>
      </c>
      <c r="F548" s="304">
        <f t="shared" ca="1" si="242"/>
        <v>57.325434306013214</v>
      </c>
      <c r="G548" s="306">
        <f t="shared" ca="1" si="243"/>
        <v>149.51809575860955</v>
      </c>
      <c r="H548" s="307">
        <f t="shared" ca="1" si="244"/>
        <v>375.70045961797655</v>
      </c>
      <c r="I548" s="304">
        <f t="shared" ca="1" si="245"/>
        <v>404.35936531313274</v>
      </c>
      <c r="J548" s="306">
        <f t="shared" ca="1" si="246"/>
        <v>382.31713606595719</v>
      </c>
      <c r="K548" s="307">
        <f t="shared" ca="1" si="247"/>
        <v>1025.881085551697</v>
      </c>
      <c r="L548" s="304">
        <f t="shared" ca="1" si="232"/>
        <v>1094.8051855112872</v>
      </c>
      <c r="M548" s="306">
        <f t="shared" ca="1" si="248"/>
        <v>1.1920398322089663</v>
      </c>
      <c r="N548" s="304">
        <f t="shared" ca="1" si="249"/>
        <v>68.29885139705658</v>
      </c>
      <c r="P548" s="310">
        <f t="shared" ca="1" si="250"/>
        <v>15</v>
      </c>
      <c r="Q548" s="304">
        <f t="shared" ca="1" si="251"/>
        <v>2170.1543571428674</v>
      </c>
      <c r="R548" s="306">
        <f t="shared" ca="1" si="252"/>
        <v>1.305074703125551</v>
      </c>
      <c r="S548" s="307">
        <f t="shared" ca="1" si="253"/>
        <v>16.872309779042599</v>
      </c>
      <c r="T548" s="304">
        <f t="shared" ca="1" si="233"/>
        <v>165.51735893240792</v>
      </c>
      <c r="U548" s="311">
        <f t="shared" ca="1" si="234"/>
        <v>0</v>
      </c>
      <c r="V548" s="306">
        <f t="shared" ca="1" si="235"/>
        <v>1.1054611968756549</v>
      </c>
      <c r="W548" s="304">
        <f t="shared" ca="1" si="236"/>
        <v>1053.6713545610671</v>
      </c>
      <c r="Y548" s="314" t="str">
        <f t="shared" ca="1" si="254"/>
        <v/>
      </c>
      <c r="Z548" s="315" t="str">
        <f t="shared" ca="1" si="255"/>
        <v/>
      </c>
      <c r="AA548" s="316" t="str">
        <f t="shared" ca="1" si="256"/>
        <v/>
      </c>
      <c r="AC548" s="310" t="e">
        <f t="shared" ca="1" si="257"/>
        <v>#N/A</v>
      </c>
      <c r="AD548" s="323" t="e">
        <f t="shared" ca="1" si="258"/>
        <v>#N/A</v>
      </c>
      <c r="AE548" s="324">
        <f t="shared" ca="1" si="237"/>
        <v>1025.881085551697</v>
      </c>
      <c r="AG548" s="306">
        <f t="shared" ca="1" si="259"/>
        <v>57.210605041122477</v>
      </c>
      <c r="AH548" s="304">
        <f t="shared" ca="1" si="260"/>
        <v>66.325648145698096</v>
      </c>
    </row>
    <row r="549" spans="1:34" x14ac:dyDescent="0.2">
      <c r="A549" s="347">
        <f t="shared" ca="1" si="238"/>
        <v>0.01</v>
      </c>
      <c r="B549" s="304">
        <f t="shared" ca="1" si="239"/>
        <v>5.4499999999999282</v>
      </c>
      <c r="D549" s="306">
        <f t="shared" ca="1" si="240"/>
        <v>24.455846030244142</v>
      </c>
      <c r="E549" s="307">
        <f t="shared" ca="1" si="241"/>
        <v>51.641241385142656</v>
      </c>
      <c r="F549" s="304">
        <f t="shared" ca="1" si="242"/>
        <v>57.139357861753915</v>
      </c>
      <c r="G549" s="306">
        <f t="shared" ca="1" si="243"/>
        <v>149.76265421891199</v>
      </c>
      <c r="H549" s="307">
        <f t="shared" ca="1" si="244"/>
        <v>376.21687203182796</v>
      </c>
      <c r="I549" s="304">
        <f t="shared" ca="1" si="245"/>
        <v>404.92960795687219</v>
      </c>
      <c r="J549" s="306">
        <f t="shared" ca="1" si="246"/>
        <v>383.81353981584482</v>
      </c>
      <c r="K549" s="307">
        <f t="shared" ca="1" si="247"/>
        <v>1029.6406722099459</v>
      </c>
      <c r="L549" s="304">
        <f t="shared" ca="1" si="232"/>
        <v>1098.8506482752414</v>
      </c>
      <c r="M549" s="306">
        <f t="shared" ca="1" si="248"/>
        <v>1.1919502512461266</v>
      </c>
      <c r="N549" s="304">
        <f t="shared" ca="1" si="249"/>
        <v>68.293718785961147</v>
      </c>
      <c r="P549" s="310">
        <f t="shared" ca="1" si="250"/>
        <v>15</v>
      </c>
      <c r="Q549" s="304">
        <f t="shared" ca="1" si="251"/>
        <v>2168.7234172932435</v>
      </c>
      <c r="R549" s="306">
        <f t="shared" ca="1" si="252"/>
        <v>1.3042141729087524</v>
      </c>
      <c r="S549" s="307">
        <f t="shared" ca="1" si="253"/>
        <v>16.859267637313511</v>
      </c>
      <c r="T549" s="304">
        <f t="shared" ca="1" si="233"/>
        <v>165.38941552204557</v>
      </c>
      <c r="U549" s="311">
        <f t="shared" ca="1" si="234"/>
        <v>0</v>
      </c>
      <c r="V549" s="306">
        <f t="shared" ca="1" si="235"/>
        <v>1.1050445672736608</v>
      </c>
      <c r="W549" s="304">
        <f t="shared" ca="1" si="236"/>
        <v>1056.2470715614345</v>
      </c>
      <c r="Y549" s="314" t="str">
        <f t="shared" ca="1" si="254"/>
        <v/>
      </c>
      <c r="Z549" s="315" t="str">
        <f t="shared" ca="1" si="255"/>
        <v/>
      </c>
      <c r="AA549" s="316" t="str">
        <f t="shared" ca="1" si="256"/>
        <v/>
      </c>
      <c r="AC549" s="310" t="e">
        <f t="shared" ca="1" si="257"/>
        <v>#N/A</v>
      </c>
      <c r="AD549" s="323" t="e">
        <f t="shared" ca="1" si="258"/>
        <v>#N/A</v>
      </c>
      <c r="AE549" s="324">
        <f t="shared" ca="1" si="237"/>
        <v>1029.6406722099459</v>
      </c>
      <c r="AG549" s="306">
        <f t="shared" ca="1" si="259"/>
        <v>57.024101901022391</v>
      </c>
      <c r="AH549" s="304">
        <f t="shared" ca="1" si="260"/>
        <v>66.138819711498314</v>
      </c>
    </row>
    <row r="550" spans="1:34" x14ac:dyDescent="0.2">
      <c r="A550" s="347">
        <f t="shared" ca="1" si="238"/>
        <v>0.01</v>
      </c>
      <c r="B550" s="304">
        <f t="shared" ca="1" si="239"/>
        <v>5.459999999999928</v>
      </c>
      <c r="D550" s="306">
        <f t="shared" ca="1" si="240"/>
        <v>24.392312302822646</v>
      </c>
      <c r="E550" s="307">
        <f t="shared" ca="1" si="241"/>
        <v>51.46561963997673</v>
      </c>
      <c r="F550" s="304">
        <f t="shared" ca="1" si="242"/>
        <v>56.953445061779988</v>
      </c>
      <c r="G550" s="306">
        <f t="shared" ca="1" si="243"/>
        <v>150.00657734194021</v>
      </c>
      <c r="H550" s="307">
        <f t="shared" ca="1" si="244"/>
        <v>376.73152822822772</v>
      </c>
      <c r="I550" s="304">
        <f t="shared" ca="1" si="245"/>
        <v>405.49798717998522</v>
      </c>
      <c r="J550" s="306">
        <f t="shared" ca="1" si="246"/>
        <v>385.3123859736491</v>
      </c>
      <c r="K550" s="307">
        <f t="shared" ca="1" si="247"/>
        <v>1033.4054142112461</v>
      </c>
      <c r="L550" s="304">
        <f t="shared" ca="1" si="232"/>
        <v>1102.9018020231101</v>
      </c>
      <c r="M550" s="306">
        <f t="shared" ca="1" si="248"/>
        <v>1.1918607757118049</v>
      </c>
      <c r="N550" s="304">
        <f t="shared" ca="1" si="249"/>
        <v>68.288592215474836</v>
      </c>
      <c r="P550" s="310">
        <f t="shared" ca="1" si="250"/>
        <v>15</v>
      </c>
      <c r="Q550" s="304">
        <f t="shared" ca="1" si="251"/>
        <v>2167.2924774436192</v>
      </c>
      <c r="R550" s="306">
        <f t="shared" ca="1" si="252"/>
        <v>1.3033536426919536</v>
      </c>
      <c r="S550" s="307">
        <f t="shared" ca="1" si="253"/>
        <v>16.846234100886591</v>
      </c>
      <c r="T550" s="304">
        <f t="shared" ca="1" si="233"/>
        <v>165.26155652969746</v>
      </c>
      <c r="U550" s="311">
        <f t="shared" ca="1" si="234"/>
        <v>0</v>
      </c>
      <c r="V550" s="306">
        <f t="shared" ca="1" si="235"/>
        <v>1.1046275156134768</v>
      </c>
      <c r="W550" s="304">
        <f t="shared" ca="1" si="236"/>
        <v>1058.8145988510748</v>
      </c>
      <c r="Y550" s="314" t="str">
        <f t="shared" ca="1" si="254"/>
        <v/>
      </c>
      <c r="Z550" s="315" t="str">
        <f t="shared" ca="1" si="255"/>
        <v/>
      </c>
      <c r="AA550" s="316" t="str">
        <f t="shared" ca="1" si="256"/>
        <v/>
      </c>
      <c r="AC550" s="310" t="e">
        <f t="shared" ca="1" si="257"/>
        <v>#N/A</v>
      </c>
      <c r="AD550" s="323" t="e">
        <f t="shared" ca="1" si="258"/>
        <v>#N/A</v>
      </c>
      <c r="AE550" s="324">
        <f t="shared" ca="1" si="237"/>
        <v>1033.4054142112461</v>
      </c>
      <c r="AG550" s="306">
        <f t="shared" ca="1" si="259"/>
        <v>56.83775999306647</v>
      </c>
      <c r="AH550" s="304">
        <f t="shared" ca="1" si="260"/>
        <v>65.952152821128863</v>
      </c>
    </row>
    <row r="551" spans="1:34" x14ac:dyDescent="0.2">
      <c r="A551" s="347">
        <f t="shared" ca="1" si="238"/>
        <v>0.01</v>
      </c>
      <c r="B551" s="304">
        <f t="shared" ca="1" si="239"/>
        <v>5.4699999999999278</v>
      </c>
      <c r="D551" s="306">
        <f t="shared" ca="1" si="240"/>
        <v>24.328801474672609</v>
      </c>
      <c r="E551" s="307">
        <f t="shared" ca="1" si="241"/>
        <v>51.29016455226472</v>
      </c>
      <c r="F551" s="304">
        <f t="shared" ca="1" si="242"/>
        <v>56.767698218198213</v>
      </c>
      <c r="G551" s="306">
        <f t="shared" ca="1" si="243"/>
        <v>150.24986535668694</v>
      </c>
      <c r="H551" s="307">
        <f t="shared" ca="1" si="244"/>
        <v>377.24442987375039</v>
      </c>
      <c r="I551" s="304">
        <f t="shared" ca="1" si="245"/>
        <v>406.06450461776825</v>
      </c>
      <c r="J551" s="306">
        <f t="shared" ca="1" si="246"/>
        <v>386.81366818714224</v>
      </c>
      <c r="K551" s="307">
        <f t="shared" ca="1" si="247"/>
        <v>1037.1752940017561</v>
      </c>
      <c r="L551" s="304">
        <f t="shared" ca="1" si="232"/>
        <v>1106.958628126644</v>
      </c>
      <c r="M551" s="306">
        <f t="shared" ca="1" si="248"/>
        <v>1.1917714049254817</v>
      </c>
      <c r="N551" s="304">
        <f t="shared" ca="1" si="249"/>
        <v>68.283471646606756</v>
      </c>
      <c r="P551" s="310">
        <f t="shared" ca="1" si="250"/>
        <v>15</v>
      </c>
      <c r="Q551" s="304">
        <f t="shared" ca="1" si="251"/>
        <v>2165.8615375939953</v>
      </c>
      <c r="R551" s="306">
        <f t="shared" ca="1" si="252"/>
        <v>1.3024931124751551</v>
      </c>
      <c r="S551" s="307">
        <f t="shared" ca="1" si="253"/>
        <v>16.83320916976184</v>
      </c>
      <c r="T551" s="304">
        <f t="shared" ca="1" si="233"/>
        <v>165.13378195536367</v>
      </c>
      <c r="U551" s="311">
        <f t="shared" ca="1" si="234"/>
        <v>0</v>
      </c>
      <c r="V551" s="306">
        <f t="shared" ca="1" si="235"/>
        <v>1.1042100443718394</v>
      </c>
      <c r="W551" s="304">
        <f t="shared" ca="1" si="236"/>
        <v>1061.3739093330021</v>
      </c>
      <c r="Y551" s="314" t="str">
        <f t="shared" ca="1" si="254"/>
        <v/>
      </c>
      <c r="Z551" s="315" t="str">
        <f t="shared" ca="1" si="255"/>
        <v/>
      </c>
      <c r="AA551" s="316" t="str">
        <f t="shared" ca="1" si="256"/>
        <v/>
      </c>
      <c r="AC551" s="310" t="e">
        <f t="shared" ca="1" si="257"/>
        <v>#N/A</v>
      </c>
      <c r="AD551" s="323" t="e">
        <f t="shared" ca="1" si="258"/>
        <v>#N/A</v>
      </c>
      <c r="AE551" s="324">
        <f t="shared" ca="1" si="237"/>
        <v>1037.1752940017561</v>
      </c>
      <c r="AG551" s="306">
        <f t="shared" ca="1" si="259"/>
        <v>56.651581613653491</v>
      </c>
      <c r="AH551" s="304">
        <f t="shared" ca="1" si="260"/>
        <v>65.765649768764987</v>
      </c>
    </row>
    <row r="552" spans="1:34" x14ac:dyDescent="0.2">
      <c r="A552" s="347">
        <f t="shared" ca="1" si="238"/>
        <v>0.01</v>
      </c>
      <c r="B552" s="304">
        <f t="shared" ca="1" si="239"/>
        <v>5.4799999999999276</v>
      </c>
      <c r="D552" s="306">
        <f t="shared" ca="1" si="240"/>
        <v>24.265314528054429</v>
      </c>
      <c r="E552" s="307">
        <f t="shared" ca="1" si="241"/>
        <v>51.11487818948801</v>
      </c>
      <c r="F552" s="304">
        <f t="shared" ca="1" si="242"/>
        <v>56.582119626889259</v>
      </c>
      <c r="G552" s="306">
        <f t="shared" ca="1" si="243"/>
        <v>150.49251850196748</v>
      </c>
      <c r="H552" s="307">
        <f t="shared" ca="1" si="244"/>
        <v>377.75557865564525</v>
      </c>
      <c r="I552" s="304">
        <f t="shared" ca="1" si="245"/>
        <v>406.62916192831818</v>
      </c>
      <c r="J552" s="306">
        <f t="shared" ca="1" si="246"/>
        <v>388.31738010643551</v>
      </c>
      <c r="K552" s="307">
        <f t="shared" ca="1" si="247"/>
        <v>1040.9502940444031</v>
      </c>
      <c r="L552" s="304">
        <f t="shared" ca="1" si="232"/>
        <v>1111.0211079740363</v>
      </c>
      <c r="M552" s="306">
        <f t="shared" ca="1" si="248"/>
        <v>1.1916821382111298</v>
      </c>
      <c r="N552" s="304">
        <f t="shared" ca="1" si="249"/>
        <v>68.278357040623391</v>
      </c>
      <c r="P552" s="310">
        <f t="shared" ca="1" si="250"/>
        <v>15</v>
      </c>
      <c r="Q552" s="304">
        <f t="shared" ca="1" si="251"/>
        <v>2164.4305977443714</v>
      </c>
      <c r="R552" s="306">
        <f t="shared" ca="1" si="252"/>
        <v>1.3016325822583565</v>
      </c>
      <c r="S552" s="307">
        <f t="shared" ca="1" si="253"/>
        <v>16.820192843939257</v>
      </c>
      <c r="T552" s="304">
        <f t="shared" ca="1" si="233"/>
        <v>165.00609179904413</v>
      </c>
      <c r="U552" s="311">
        <f t="shared" ca="1" si="234"/>
        <v>0</v>
      </c>
      <c r="V552" s="306">
        <f t="shared" ca="1" si="235"/>
        <v>1.1037921560210779</v>
      </c>
      <c r="W552" s="304">
        <f t="shared" ca="1" si="236"/>
        <v>1063.924976295076</v>
      </c>
      <c r="Y552" s="314" t="str">
        <f t="shared" ca="1" si="254"/>
        <v/>
      </c>
      <c r="Z552" s="315" t="str">
        <f t="shared" ca="1" si="255"/>
        <v/>
      </c>
      <c r="AA552" s="316" t="str">
        <f t="shared" ca="1" si="256"/>
        <v/>
      </c>
      <c r="AC552" s="310" t="e">
        <f t="shared" ca="1" si="257"/>
        <v>#N/A</v>
      </c>
      <c r="AD552" s="323" t="e">
        <f t="shared" ca="1" si="258"/>
        <v>#N/A</v>
      </c>
      <c r="AE552" s="324">
        <f t="shared" ca="1" si="237"/>
        <v>1040.9502940444031</v>
      </c>
      <c r="AG552" s="306">
        <f t="shared" ca="1" si="259"/>
        <v>56.465569042830708</v>
      </c>
      <c r="AH552" s="304">
        <f t="shared" ca="1" si="260"/>
        <v>65.579312832244298</v>
      </c>
    </row>
    <row r="553" spans="1:34" x14ac:dyDescent="0.2">
      <c r="A553" s="347">
        <f t="shared" ca="1" si="238"/>
        <v>0.01</v>
      </c>
      <c r="B553" s="304">
        <f t="shared" ca="1" si="239"/>
        <v>5.4899999999999274</v>
      </c>
      <c r="D553" s="306">
        <f t="shared" ca="1" si="240"/>
        <v>24.201852439076617</v>
      </c>
      <c r="E553" s="307">
        <f t="shared" ca="1" si="241"/>
        <v>50.939762603929069</v>
      </c>
      <c r="F553" s="304">
        <f t="shared" ca="1" si="242"/>
        <v>56.396711567497348</v>
      </c>
      <c r="G553" s="306">
        <f t="shared" ca="1" si="243"/>
        <v>150.73453702635825</v>
      </c>
      <c r="H553" s="307">
        <f t="shared" ca="1" si="244"/>
        <v>378.26497628168454</v>
      </c>
      <c r="I553" s="304">
        <f t="shared" ca="1" si="245"/>
        <v>407.19196079236872</v>
      </c>
      <c r="J553" s="306">
        <f t="shared" ca="1" si="246"/>
        <v>389.82351538407715</v>
      </c>
      <c r="K553" s="307">
        <f t="shared" ca="1" si="247"/>
        <v>1044.7303968190897</v>
      </c>
      <c r="L553" s="304">
        <f t="shared" ca="1" si="232"/>
        <v>1115.0892229701499</v>
      </c>
      <c r="M553" s="306">
        <f t="shared" ca="1" si="248"/>
        <v>1.1915929748971752</v>
      </c>
      <c r="N553" s="304">
        <f t="shared" ca="1" si="249"/>
        <v>68.273248359046391</v>
      </c>
      <c r="P553" s="310">
        <f t="shared" ca="1" si="250"/>
        <v>15</v>
      </c>
      <c r="Q553" s="304">
        <f t="shared" ca="1" si="251"/>
        <v>2162.9996578947471</v>
      </c>
      <c r="R553" s="306">
        <f t="shared" ca="1" si="252"/>
        <v>1.3007720520415578</v>
      </c>
      <c r="S553" s="307">
        <f t="shared" ca="1" si="253"/>
        <v>16.80718512341884</v>
      </c>
      <c r="T553" s="304">
        <f t="shared" ca="1" si="233"/>
        <v>164.87848606073882</v>
      </c>
      <c r="U553" s="311">
        <f t="shared" ca="1" si="234"/>
        <v>0</v>
      </c>
      <c r="V553" s="306">
        <f t="shared" ca="1" si="235"/>
        <v>1.1033738530290864</v>
      </c>
      <c r="W553" s="304">
        <f t="shared" ca="1" si="236"/>
        <v>1066.467773408918</v>
      </c>
      <c r="Y553" s="314" t="str">
        <f t="shared" ca="1" si="254"/>
        <v/>
      </c>
      <c r="Z553" s="315" t="str">
        <f t="shared" ca="1" si="255"/>
        <v/>
      </c>
      <c r="AA553" s="316" t="str">
        <f t="shared" ca="1" si="256"/>
        <v/>
      </c>
      <c r="AC553" s="310" t="e">
        <f t="shared" ca="1" si="257"/>
        <v>#N/A</v>
      </c>
      <c r="AD553" s="323" t="e">
        <f t="shared" ca="1" si="258"/>
        <v>#N/A</v>
      </c>
      <c r="AE553" s="324">
        <f t="shared" ca="1" si="237"/>
        <v>1044.7303968190897</v>
      </c>
      <c r="AG553" s="306">
        <f t="shared" ca="1" si="259"/>
        <v>56.279724544282153</v>
      </c>
      <c r="AH553" s="304">
        <f t="shared" ca="1" si="260"/>
        <v>65.393144273054943</v>
      </c>
    </row>
    <row r="554" spans="1:34" x14ac:dyDescent="0.2">
      <c r="A554" s="347">
        <f t="shared" ca="1" si="238"/>
        <v>0.01</v>
      </c>
      <c r="B554" s="304">
        <f t="shared" ca="1" si="239"/>
        <v>5.4999999999999272</v>
      </c>
      <c r="D554" s="306">
        <f t="shared" ca="1" si="240"/>
        <v>24.133094692590554</v>
      </c>
      <c r="E554" s="307">
        <f t="shared" ca="1" si="241"/>
        <v>50.751465683873882</v>
      </c>
      <c r="F554" s="304">
        <f t="shared" ca="1" si="242"/>
        <v>56.197130963270453</v>
      </c>
      <c r="G554" s="306">
        <f t="shared" ca="1" si="243"/>
        <v>150.97586797328415</v>
      </c>
      <c r="H554" s="307">
        <f t="shared" ca="1" si="244"/>
        <v>378.77249093852328</v>
      </c>
      <c r="I554" s="304">
        <f t="shared" ca="1" si="245"/>
        <v>407.75275915934674</v>
      </c>
      <c r="J554" s="306">
        <f t="shared" ca="1" si="246"/>
        <v>391.33206740907536</v>
      </c>
      <c r="K554" s="307">
        <f t="shared" ca="1" si="247"/>
        <v>1048.5155841551907</v>
      </c>
      <c r="L554" s="304">
        <f t="shared" ca="1" si="232"/>
        <v>1119.162953818148</v>
      </c>
      <c r="M554" s="306">
        <f t="shared" ca="1" si="248"/>
        <v>1.1915039142850596</v>
      </c>
      <c r="N554" s="304">
        <f t="shared" ca="1" si="249"/>
        <v>68.268145561851313</v>
      </c>
      <c r="P554" s="310">
        <f t="shared" ca="1" si="250"/>
        <v>16</v>
      </c>
      <c r="Q554" s="304">
        <f t="shared" ca="1" si="251"/>
        <v>2161.3273898858238</v>
      </c>
      <c r="R554" s="306">
        <f t="shared" ca="1" si="252"/>
        <v>1.2997663933112888</v>
      </c>
      <c r="S554" s="307">
        <f t="shared" ca="1" si="253"/>
        <v>16.794187459485727</v>
      </c>
      <c r="T554" s="304">
        <f t="shared" ca="1" si="233"/>
        <v>164.75097897755498</v>
      </c>
      <c r="U554" s="311">
        <f t="shared" ca="1" si="234"/>
        <v>0</v>
      </c>
      <c r="V554" s="306">
        <f t="shared" ca="1" si="235"/>
        <v>1.1029551379331477</v>
      </c>
      <c r="W554" s="304">
        <f t="shared" ca="1" si="236"/>
        <v>1069.0015210444308</v>
      </c>
      <c r="Y554" s="314" t="str">
        <f t="shared" ca="1" si="254"/>
        <v/>
      </c>
      <c r="Z554" s="315" t="str">
        <f t="shared" ca="1" si="255"/>
        <v/>
      </c>
      <c r="AA554" s="316" t="str">
        <f t="shared" ca="1" si="256"/>
        <v/>
      </c>
      <c r="AC554" s="310" t="e">
        <f t="shared" ca="1" si="257"/>
        <v>#N/A</v>
      </c>
      <c r="AD554" s="323" t="e">
        <f t="shared" ca="1" si="258"/>
        <v>#N/A</v>
      </c>
      <c r="AE554" s="324">
        <f t="shared" ca="1" si="237"/>
        <v>1048.5155841551907</v>
      </c>
      <c r="AG554" s="306">
        <f t="shared" ca="1" si="259"/>
        <v>56.079674987287085</v>
      </c>
      <c r="AH554" s="304">
        <f t="shared" ca="1" si="260"/>
        <v>65.192770958293963</v>
      </c>
    </row>
    <row r="555" spans="1:34" x14ac:dyDescent="0.2">
      <c r="A555" s="347">
        <f t="shared" ca="1" si="238"/>
        <v>0.01</v>
      </c>
      <c r="B555" s="304">
        <f t="shared" ca="1" si="239"/>
        <v>5.509999999999927</v>
      </c>
      <c r="D555" s="306">
        <f t="shared" ca="1" si="240"/>
        <v>24.051938514117001</v>
      </c>
      <c r="E555" s="307">
        <f t="shared" ca="1" si="241"/>
        <v>50.532177761179632</v>
      </c>
      <c r="F555" s="304">
        <f t="shared" ca="1" si="242"/>
        <v>55.964245153261217</v>
      </c>
      <c r="G555" s="306">
        <f t="shared" ca="1" si="243"/>
        <v>151.21638735842532</v>
      </c>
      <c r="H555" s="307">
        <f t="shared" ca="1" si="244"/>
        <v>379.27781271613509</v>
      </c>
      <c r="I555" s="304">
        <f t="shared" ca="1" si="245"/>
        <v>408.31122324088642</v>
      </c>
      <c r="J555" s="306">
        <f t="shared" ca="1" si="246"/>
        <v>392.84302868573388</v>
      </c>
      <c r="K555" s="307">
        <f t="shared" ca="1" si="247"/>
        <v>1052.3058356734639</v>
      </c>
      <c r="L555" s="304">
        <f t="shared" ca="1" si="232"/>
        <v>1123.2422788425511</v>
      </c>
      <c r="M555" s="306">
        <f t="shared" ca="1" si="248"/>
        <v>1.1914149556077323</v>
      </c>
      <c r="N555" s="304">
        <f t="shared" ca="1" si="249"/>
        <v>68.263048605089395</v>
      </c>
      <c r="P555" s="310">
        <f t="shared" ca="1" si="250"/>
        <v>16</v>
      </c>
      <c r="Q555" s="304">
        <f t="shared" ca="1" si="251"/>
        <v>2159.0920228385157</v>
      </c>
      <c r="R555" s="306">
        <f t="shared" ca="1" si="252"/>
        <v>1.2984221013829105</v>
      </c>
      <c r="S555" s="307">
        <f t="shared" ca="1" si="253"/>
        <v>16.781203238471896</v>
      </c>
      <c r="T555" s="304">
        <f t="shared" ca="1" si="233"/>
        <v>164.6236037694093</v>
      </c>
      <c r="U555" s="311">
        <f t="shared" ca="1" si="234"/>
        <v>0</v>
      </c>
      <c r="V555" s="306">
        <f t="shared" ca="1" si="235"/>
        <v>1.1025360135120557</v>
      </c>
      <c r="W555" s="304">
        <f t="shared" ca="1" si="236"/>
        <v>1071.5244307417804</v>
      </c>
      <c r="Y555" s="314" t="str">
        <f t="shared" ca="1" si="254"/>
        <v/>
      </c>
      <c r="Z555" s="315" t="str">
        <f t="shared" ca="1" si="255"/>
        <v/>
      </c>
      <c r="AA555" s="316" t="str">
        <f t="shared" ca="1" si="256"/>
        <v/>
      </c>
      <c r="AC555" s="310" t="e">
        <f t="shared" ca="1" si="257"/>
        <v>#N/A</v>
      </c>
      <c r="AD555" s="323" t="e">
        <f t="shared" ca="1" si="258"/>
        <v>#N/A</v>
      </c>
      <c r="AE555" s="324">
        <f t="shared" ca="1" si="237"/>
        <v>1052.3058356734639</v>
      </c>
      <c r="AG555" s="306">
        <f t="shared" ca="1" si="259"/>
        <v>55.846246592436231</v>
      </c>
      <c r="AH555" s="304">
        <f t="shared" ca="1" si="260"/>
        <v>64.959019106269352</v>
      </c>
    </row>
    <row r="556" spans="1:34" x14ac:dyDescent="0.2">
      <c r="A556" s="347">
        <f t="shared" ca="1" si="238"/>
        <v>0.01</v>
      </c>
      <c r="B556" s="304">
        <f t="shared" ca="1" si="239"/>
        <v>5.5199999999999267</v>
      </c>
      <c r="D556" s="306">
        <f t="shared" ca="1" si="240"/>
        <v>23.970823423875519</v>
      </c>
      <c r="E556" s="307">
        <f t="shared" ca="1" si="241"/>
        <v>50.313123135209892</v>
      </c>
      <c r="F556" s="304">
        <f t="shared" ca="1" si="242"/>
        <v>55.731595484405538</v>
      </c>
      <c r="G556" s="306">
        <f t="shared" ca="1" si="243"/>
        <v>151.45609559266407</v>
      </c>
      <c r="H556" s="307">
        <f t="shared" ca="1" si="244"/>
        <v>379.78094394748717</v>
      </c>
      <c r="I556" s="304">
        <f t="shared" ca="1" si="245"/>
        <v>408.86735535845679</v>
      </c>
      <c r="J556" s="306">
        <f t="shared" ca="1" si="246"/>
        <v>394.3563911004893</v>
      </c>
      <c r="K556" s="307">
        <f t="shared" ca="1" si="247"/>
        <v>1056.101129456782</v>
      </c>
      <c r="L556" s="304">
        <f t="shared" ca="1" si="232"/>
        <v>1127.3271747109145</v>
      </c>
      <c r="M556" s="306">
        <f t="shared" ca="1" si="248"/>
        <v>1.1913260981033622</v>
      </c>
      <c r="N556" s="304">
        <f t="shared" ca="1" si="249"/>
        <v>68.257957445110918</v>
      </c>
      <c r="P556" s="310">
        <f t="shared" ca="1" si="250"/>
        <v>16</v>
      </c>
      <c r="Q556" s="304">
        <f t="shared" ca="1" si="251"/>
        <v>2156.8566557912072</v>
      </c>
      <c r="R556" s="306">
        <f t="shared" ca="1" si="252"/>
        <v>1.2970778094545319</v>
      </c>
      <c r="S556" s="307">
        <f t="shared" ca="1" si="253"/>
        <v>16.768232460377352</v>
      </c>
      <c r="T556" s="304">
        <f t="shared" ca="1" si="233"/>
        <v>164.49636043630181</v>
      </c>
      <c r="U556" s="311">
        <f t="shared" ca="1" si="234"/>
        <v>0</v>
      </c>
      <c r="V556" s="306">
        <f t="shared" ca="1" si="235"/>
        <v>1.1021164827115424</v>
      </c>
      <c r="W556" s="304">
        <f t="shared" ca="1" si="236"/>
        <v>1074.0364734153791</v>
      </c>
      <c r="Y556" s="314" t="str">
        <f t="shared" ca="1" si="254"/>
        <v/>
      </c>
      <c r="Z556" s="315" t="str">
        <f t="shared" ca="1" si="255"/>
        <v/>
      </c>
      <c r="AA556" s="316" t="str">
        <f t="shared" ca="1" si="256"/>
        <v/>
      </c>
      <c r="AC556" s="310" t="e">
        <f t="shared" ca="1" si="257"/>
        <v>#N/A</v>
      </c>
      <c r="AD556" s="323" t="e">
        <f t="shared" ca="1" si="258"/>
        <v>#N/A</v>
      </c>
      <c r="AE556" s="324">
        <f t="shared" ca="1" si="237"/>
        <v>1056.101129456782</v>
      </c>
      <c r="AG556" s="306">
        <f t="shared" ca="1" si="259"/>
        <v>55.6130503432396</v>
      </c>
      <c r="AH556" s="304">
        <f t="shared" ca="1" si="260"/>
        <v>64.725499697956991</v>
      </c>
    </row>
    <row r="557" spans="1:34" x14ac:dyDescent="0.2">
      <c r="A557" s="347">
        <f t="shared" ca="1" si="238"/>
        <v>0.01</v>
      </c>
      <c r="B557" s="304">
        <f t="shared" ca="1" si="239"/>
        <v>5.5299999999999265</v>
      </c>
      <c r="D557" s="306">
        <f t="shared" ca="1" si="240"/>
        <v>23.889750645325773</v>
      </c>
      <c r="E557" s="307">
        <f t="shared" ca="1" si="241"/>
        <v>50.094304381073471</v>
      </c>
      <c r="F557" s="304">
        <f t="shared" ca="1" si="242"/>
        <v>55.499184834729597</v>
      </c>
      <c r="G557" s="306">
        <f t="shared" ca="1" si="243"/>
        <v>151.69499309911734</v>
      </c>
      <c r="H557" s="307">
        <f t="shared" ca="1" si="244"/>
        <v>380.28188699129788</v>
      </c>
      <c r="I557" s="304">
        <f t="shared" ca="1" si="245"/>
        <v>409.42115786193011</v>
      </c>
      <c r="J557" s="306">
        <f t="shared" ca="1" si="246"/>
        <v>395.87214654394819</v>
      </c>
      <c r="K557" s="307">
        <f t="shared" ca="1" si="247"/>
        <v>1059.901443611476</v>
      </c>
      <c r="L557" s="304">
        <f t="shared" ca="1" si="232"/>
        <v>1131.417618114109</v>
      </c>
      <c r="M557" s="306">
        <f t="shared" ca="1" si="248"/>
        <v>1.1912373410152899</v>
      </c>
      <c r="N557" s="304">
        <f t="shared" ca="1" si="249"/>
        <v>68.252872038562501</v>
      </c>
      <c r="P557" s="310">
        <f t="shared" ca="1" si="250"/>
        <v>16</v>
      </c>
      <c r="Q557" s="304">
        <f t="shared" ca="1" si="251"/>
        <v>2154.6212887438992</v>
      </c>
      <c r="R557" s="306">
        <f t="shared" ca="1" si="252"/>
        <v>1.2957335175261537</v>
      </c>
      <c r="S557" s="307">
        <f t="shared" ca="1" si="253"/>
        <v>16.75527512520209</v>
      </c>
      <c r="T557" s="304">
        <f t="shared" ca="1" si="233"/>
        <v>164.36924897823252</v>
      </c>
      <c r="U557" s="311">
        <f t="shared" ca="1" si="234"/>
        <v>0</v>
      </c>
      <c r="V557" s="306">
        <f t="shared" ca="1" si="235"/>
        <v>1.1016965484714629</v>
      </c>
      <c r="W557" s="304">
        <f t="shared" ca="1" si="236"/>
        <v>1076.5376205066984</v>
      </c>
      <c r="Y557" s="314" t="str">
        <f t="shared" ca="1" si="254"/>
        <v/>
      </c>
      <c r="Z557" s="315" t="str">
        <f t="shared" ca="1" si="255"/>
        <v/>
      </c>
      <c r="AA557" s="316" t="str">
        <f t="shared" ca="1" si="256"/>
        <v/>
      </c>
      <c r="AC557" s="310" t="e">
        <f t="shared" ca="1" si="257"/>
        <v>#N/A</v>
      </c>
      <c r="AD557" s="323" t="e">
        <f t="shared" ca="1" si="258"/>
        <v>#N/A</v>
      </c>
      <c r="AE557" s="324">
        <f t="shared" ca="1" si="237"/>
        <v>1059.901443611476</v>
      </c>
      <c r="AG557" s="306">
        <f t="shared" ca="1" si="259"/>
        <v>55.380089080011842</v>
      </c>
      <c r="AH557" s="304">
        <f t="shared" ca="1" si="260"/>
        <v>64.492215571153565</v>
      </c>
    </row>
    <row r="558" spans="1:34" x14ac:dyDescent="0.2">
      <c r="A558" s="347">
        <f t="shared" ca="1" si="238"/>
        <v>0.01</v>
      </c>
      <c r="B558" s="304">
        <f t="shared" ca="1" si="239"/>
        <v>5.5399999999999263</v>
      </c>
      <c r="D558" s="306">
        <f t="shared" ca="1" si="240"/>
        <v>23.808721392915761</v>
      </c>
      <c r="E558" s="307">
        <f t="shared" ca="1" si="241"/>
        <v>49.87572405176352</v>
      </c>
      <c r="F558" s="304">
        <f t="shared" ca="1" si="242"/>
        <v>55.267016058885851</v>
      </c>
      <c r="G558" s="306">
        <f t="shared" ca="1" si="243"/>
        <v>151.9330803130465</v>
      </c>
      <c r="H558" s="307">
        <f t="shared" ca="1" si="244"/>
        <v>380.78064423181553</v>
      </c>
      <c r="I558" s="304">
        <f t="shared" ca="1" si="245"/>
        <v>409.97263312934331</v>
      </c>
      <c r="J558" s="306">
        <f t="shared" ca="1" si="246"/>
        <v>397.39028691100901</v>
      </c>
      <c r="K558" s="307">
        <f t="shared" ca="1" si="247"/>
        <v>1063.7067562675916</v>
      </c>
      <c r="L558" s="304">
        <f t="shared" ca="1" si="232"/>
        <v>1135.5135857666062</v>
      </c>
      <c r="M558" s="306">
        <f t="shared" ca="1" si="248"/>
        <v>1.1911486835919771</v>
      </c>
      <c r="N558" s="304">
        <f t="shared" ca="1" si="249"/>
        <v>68.247792342384187</v>
      </c>
      <c r="P558" s="310">
        <f t="shared" ca="1" si="250"/>
        <v>16</v>
      </c>
      <c r="Q558" s="304">
        <f t="shared" ca="1" si="251"/>
        <v>2152.3859216965907</v>
      </c>
      <c r="R558" s="306">
        <f t="shared" ca="1" si="252"/>
        <v>1.2943892255977751</v>
      </c>
      <c r="S558" s="307">
        <f t="shared" ca="1" si="253"/>
        <v>16.74233123294611</v>
      </c>
      <c r="T558" s="304">
        <f t="shared" ca="1" si="233"/>
        <v>164.24226939520136</v>
      </c>
      <c r="U558" s="311">
        <f t="shared" ca="1" si="234"/>
        <v>0</v>
      </c>
      <c r="V558" s="306">
        <f t="shared" ca="1" si="235"/>
        <v>1.1012762137257657</v>
      </c>
      <c r="W558" s="304">
        <f t="shared" ca="1" si="236"/>
        <v>1079.0278439823244</v>
      </c>
      <c r="Y558" s="314" t="str">
        <f t="shared" ca="1" si="254"/>
        <v/>
      </c>
      <c r="Z558" s="315" t="str">
        <f t="shared" ca="1" si="255"/>
        <v/>
      </c>
      <c r="AA558" s="316" t="str">
        <f t="shared" ca="1" si="256"/>
        <v/>
      </c>
      <c r="AC558" s="310" t="e">
        <f t="shared" ca="1" si="257"/>
        <v>#N/A</v>
      </c>
      <c r="AD558" s="323" t="e">
        <f t="shared" ca="1" si="258"/>
        <v>#N/A</v>
      </c>
      <c r="AE558" s="324">
        <f t="shared" ca="1" si="237"/>
        <v>1063.7067562675916</v>
      </c>
      <c r="AG558" s="306">
        <f t="shared" ca="1" si="259"/>
        <v>55.147365619226854</v>
      </c>
      <c r="AH558" s="304">
        <f t="shared" ca="1" si="260"/>
        <v>64.259169539831021</v>
      </c>
    </row>
    <row r="559" spans="1:34" x14ac:dyDescent="0.2">
      <c r="A559" s="347">
        <f t="shared" ca="1" si="238"/>
        <v>0.01</v>
      </c>
      <c r="B559" s="304">
        <f t="shared" ca="1" si="239"/>
        <v>5.5499999999999261</v>
      </c>
      <c r="D559" s="306">
        <f t="shared" ca="1" si="240"/>
        <v>23.727736872080342</v>
      </c>
      <c r="E559" s="307">
        <f t="shared" ca="1" si="241"/>
        <v>49.657384678160263</v>
      </c>
      <c r="F559" s="304">
        <f t="shared" ca="1" si="242"/>
        <v>55.035091988162122</v>
      </c>
      <c r="G559" s="306">
        <f t="shared" ca="1" si="243"/>
        <v>152.17035768176731</v>
      </c>
      <c r="H559" s="307">
        <f t="shared" ca="1" si="244"/>
        <v>381.27721807859712</v>
      </c>
      <c r="I559" s="304">
        <f t="shared" ca="1" si="245"/>
        <v>410.52178356665934</v>
      </c>
      <c r="J559" s="306">
        <f t="shared" ca="1" si="246"/>
        <v>398.91080410098306</v>
      </c>
      <c r="K559" s="307">
        <f t="shared" ca="1" si="247"/>
        <v>1067.5170455791435</v>
      </c>
      <c r="L559" s="304">
        <f t="shared" ca="1" si="232"/>
        <v>1139.6150544067573</v>
      </c>
      <c r="M559" s="306">
        <f t="shared" ca="1" si="248"/>
        <v>1.1910601250869601</v>
      </c>
      <c r="N559" s="304">
        <f t="shared" ca="1" si="249"/>
        <v>68.242718313806719</v>
      </c>
      <c r="P559" s="310">
        <f t="shared" ca="1" si="250"/>
        <v>16</v>
      </c>
      <c r="Q559" s="304">
        <f t="shared" ca="1" si="251"/>
        <v>2150.1505546492826</v>
      </c>
      <c r="R559" s="306">
        <f t="shared" ca="1" si="252"/>
        <v>1.2930449336693968</v>
      </c>
      <c r="S559" s="307">
        <f t="shared" ca="1" si="253"/>
        <v>16.729400783609417</v>
      </c>
      <c r="T559" s="304">
        <f t="shared" ca="1" si="233"/>
        <v>164.1154216872084</v>
      </c>
      <c r="U559" s="311">
        <f t="shared" ca="1" si="234"/>
        <v>0</v>
      </c>
      <c r="V559" s="306">
        <f t="shared" ca="1" si="235"/>
        <v>1.1008554814024594</v>
      </c>
      <c r="W559" s="304">
        <f t="shared" ca="1" si="236"/>
        <v>1081.5071163319865</v>
      </c>
      <c r="Y559" s="314" t="str">
        <f t="shared" ca="1" si="254"/>
        <v/>
      </c>
      <c r="Z559" s="315" t="str">
        <f t="shared" ca="1" si="255"/>
        <v/>
      </c>
      <c r="AA559" s="316" t="str">
        <f t="shared" ca="1" si="256"/>
        <v/>
      </c>
      <c r="AC559" s="310" t="e">
        <f t="shared" ca="1" si="257"/>
        <v>#N/A</v>
      </c>
      <c r="AD559" s="323" t="e">
        <f t="shared" ca="1" si="258"/>
        <v>#N/A</v>
      </c>
      <c r="AE559" s="324">
        <f t="shared" ca="1" si="237"/>
        <v>1067.5170455791435</v>
      </c>
      <c r="AG559" s="306">
        <f t="shared" ca="1" si="259"/>
        <v>54.914882753519542</v>
      </c>
      <c r="AH559" s="304">
        <f t="shared" ca="1" si="260"/>
        <v>64.026364394138227</v>
      </c>
    </row>
    <row r="560" spans="1:34" x14ac:dyDescent="0.2">
      <c r="A560" s="347">
        <f t="shared" ca="1" si="238"/>
        <v>0.01</v>
      </c>
      <c r="B560" s="304">
        <f t="shared" ca="1" si="239"/>
        <v>5.5599999999999259</v>
      </c>
      <c r="D560" s="306">
        <f t="shared" ca="1" si="240"/>
        <v>23.646798279240063</v>
      </c>
      <c r="E560" s="307">
        <f t="shared" ca="1" si="241"/>
        <v>49.439288769035208</v>
      </c>
      <c r="F560" s="304">
        <f t="shared" ca="1" si="242"/>
        <v>54.803415430492301</v>
      </c>
      <c r="G560" s="306">
        <f t="shared" ca="1" si="243"/>
        <v>152.4068256645597</v>
      </c>
      <c r="H560" s="307">
        <f t="shared" ca="1" si="244"/>
        <v>381.77161096628748</v>
      </c>
      <c r="I560" s="304">
        <f t="shared" ca="1" si="245"/>
        <v>411.06861160752942</v>
      </c>
      <c r="J560" s="306">
        <f t="shared" ca="1" si="246"/>
        <v>400.4336900177147</v>
      </c>
      <c r="K560" s="307">
        <f t="shared" ca="1" si="247"/>
        <v>1071.3322897243679</v>
      </c>
      <c r="L560" s="304">
        <f t="shared" ca="1" si="232"/>
        <v>1143.7220007970732</v>
      </c>
      <c r="M560" s="306">
        <f t="shared" ca="1" si="248"/>
        <v>1.1909716647588009</v>
      </c>
      <c r="N560" s="304">
        <f t="shared" ca="1" si="249"/>
        <v>68.23764991034885</v>
      </c>
      <c r="P560" s="310">
        <f t="shared" ca="1" si="250"/>
        <v>16</v>
      </c>
      <c r="Q560" s="304">
        <f t="shared" ca="1" si="251"/>
        <v>2147.9151876019741</v>
      </c>
      <c r="R560" s="306">
        <f t="shared" ca="1" si="252"/>
        <v>1.2917006417410182</v>
      </c>
      <c r="S560" s="307">
        <f t="shared" ca="1" si="253"/>
        <v>16.716483777192007</v>
      </c>
      <c r="T560" s="304">
        <f t="shared" ca="1" si="233"/>
        <v>163.9887058542536</v>
      </c>
      <c r="U560" s="311">
        <f t="shared" ca="1" si="234"/>
        <v>0</v>
      </c>
      <c r="V560" s="306">
        <f t="shared" ca="1" si="235"/>
        <v>1.1004343544235839</v>
      </c>
      <c r="W560" s="304">
        <f t="shared" ca="1" si="236"/>
        <v>1083.9754105665713</v>
      </c>
      <c r="Y560" s="314" t="str">
        <f t="shared" ca="1" si="254"/>
        <v/>
      </c>
      <c r="Z560" s="315" t="str">
        <f t="shared" ca="1" si="255"/>
        <v/>
      </c>
      <c r="AA560" s="316" t="str">
        <f t="shared" ca="1" si="256"/>
        <v/>
      </c>
      <c r="AC560" s="310" t="e">
        <f t="shared" ca="1" si="257"/>
        <v>#N/A</v>
      </c>
      <c r="AD560" s="323" t="e">
        <f t="shared" ca="1" si="258"/>
        <v>#N/A</v>
      </c>
      <c r="AE560" s="324">
        <f t="shared" ca="1" si="237"/>
        <v>1071.3322897243679</v>
      </c>
      <c r="AG560" s="306">
        <f t="shared" ca="1" si="259"/>
        <v>54.682643251689043</v>
      </c>
      <c r="AH560" s="304">
        <f t="shared" ca="1" si="260"/>
        <v>63.793802900403989</v>
      </c>
    </row>
    <row r="561" spans="1:34" x14ac:dyDescent="0.2">
      <c r="A561" s="347">
        <f t="shared" ca="1" si="238"/>
        <v>0.01</v>
      </c>
      <c r="B561" s="304">
        <f t="shared" ca="1" si="239"/>
        <v>5.5699999999999257</v>
      </c>
      <c r="D561" s="306">
        <f t="shared" ca="1" si="240"/>
        <v>23.565906801800672</v>
      </c>
      <c r="E561" s="307">
        <f t="shared" ca="1" si="241"/>
        <v>49.22143881105665</v>
      </c>
      <c r="F561" s="304">
        <f t="shared" ca="1" si="242"/>
        <v>54.571989170468662</v>
      </c>
      <c r="G561" s="306">
        <f t="shared" ca="1" si="243"/>
        <v>152.64248473257771</v>
      </c>
      <c r="H561" s="307">
        <f t="shared" ca="1" si="244"/>
        <v>382.26382535439802</v>
      </c>
      <c r="I561" s="304">
        <f t="shared" ca="1" si="245"/>
        <v>411.613119713054</v>
      </c>
      <c r="J561" s="306">
        <f t="shared" ca="1" si="246"/>
        <v>401.95893656970037</v>
      </c>
      <c r="K561" s="307">
        <f t="shared" ca="1" si="247"/>
        <v>1075.1524669059713</v>
      </c>
      <c r="L561" s="304">
        <f t="shared" ca="1" si="232"/>
        <v>1147.8344017244997</v>
      </c>
      <c r="M561" s="306">
        <f t="shared" ca="1" si="248"/>
        <v>1.1908833018710399</v>
      </c>
      <c r="N561" s="304">
        <f t="shared" ca="1" si="249"/>
        <v>68.232587089814558</v>
      </c>
      <c r="P561" s="310">
        <f t="shared" ca="1" si="250"/>
        <v>16</v>
      </c>
      <c r="Q561" s="304">
        <f t="shared" ca="1" si="251"/>
        <v>2145.6798205546661</v>
      </c>
      <c r="R561" s="306">
        <f t="shared" ca="1" si="252"/>
        <v>1.2903563498126398</v>
      </c>
      <c r="S561" s="307">
        <f t="shared" ca="1" si="253"/>
        <v>16.703580213693879</v>
      </c>
      <c r="T561" s="304">
        <f t="shared" ca="1" si="233"/>
        <v>163.86212189633696</v>
      </c>
      <c r="U561" s="311">
        <f t="shared" ca="1" si="234"/>
        <v>0</v>
      </c>
      <c r="V561" s="306">
        <f t="shared" ca="1" si="235"/>
        <v>1.1000128357051764</v>
      </c>
      <c r="W561" s="304">
        <f t="shared" ca="1" si="236"/>
        <v>1086.4327002160983</v>
      </c>
      <c r="Y561" s="314" t="str">
        <f t="shared" ca="1" si="254"/>
        <v/>
      </c>
      <c r="Z561" s="315" t="str">
        <f t="shared" ca="1" si="255"/>
        <v/>
      </c>
      <c r="AA561" s="316" t="str">
        <f t="shared" ca="1" si="256"/>
        <v/>
      </c>
      <c r="AC561" s="310" t="e">
        <f t="shared" ca="1" si="257"/>
        <v>#N/A</v>
      </c>
      <c r="AD561" s="323" t="e">
        <f t="shared" ca="1" si="258"/>
        <v>#N/A</v>
      </c>
      <c r="AE561" s="324">
        <f t="shared" ca="1" si="237"/>
        <v>1075.1524669059713</v>
      </c>
      <c r="AG561" s="306">
        <f t="shared" ca="1" si="259"/>
        <v>54.450649858703443</v>
      </c>
      <c r="AH561" s="304">
        <f t="shared" ca="1" si="260"/>
        <v>63.561487801141666</v>
      </c>
    </row>
    <row r="562" spans="1:34" x14ac:dyDescent="0.2">
      <c r="A562" s="347">
        <f t="shared" ca="1" si="238"/>
        <v>0.01</v>
      </c>
      <c r="B562" s="304">
        <f t="shared" ca="1" si="239"/>
        <v>5.5799999999999255</v>
      </c>
      <c r="D562" s="306">
        <f t="shared" ca="1" si="240"/>
        <v>23.485063618153401</v>
      </c>
      <c r="E562" s="307">
        <f t="shared" ca="1" si="241"/>
        <v>49.003837268797426</v>
      </c>
      <c r="F562" s="304">
        <f t="shared" ca="1" si="242"/>
        <v>54.340815969356697</v>
      </c>
      <c r="G562" s="306">
        <f t="shared" ca="1" si="243"/>
        <v>152.87733536875925</v>
      </c>
      <c r="H562" s="307">
        <f t="shared" ca="1" si="244"/>
        <v>382.75386372708601</v>
      </c>
      <c r="I562" s="304">
        <f t="shared" ca="1" si="245"/>
        <v>412.15531037154528</v>
      </c>
      <c r="J562" s="306">
        <f t="shared" ca="1" si="246"/>
        <v>403.48653567020705</v>
      </c>
      <c r="K562" s="307">
        <f t="shared" ca="1" si="247"/>
        <v>1078.9775553513787</v>
      </c>
      <c r="L562" s="304">
        <f t="shared" ca="1" si="232"/>
        <v>1151.9522340006911</v>
      </c>
      <c r="M562" s="306">
        <f t="shared" ca="1" si="248"/>
        <v>1.1907950356921502</v>
      </c>
      <c r="N562" s="304">
        <f t="shared" ca="1" si="249"/>
        <v>68.227529810290434</v>
      </c>
      <c r="P562" s="310">
        <f t="shared" ca="1" si="250"/>
        <v>16</v>
      </c>
      <c r="Q562" s="304">
        <f t="shared" ca="1" si="251"/>
        <v>2143.4444535073576</v>
      </c>
      <c r="R562" s="306">
        <f t="shared" ca="1" si="252"/>
        <v>1.2890120578842612</v>
      </c>
      <c r="S562" s="307">
        <f t="shared" ca="1" si="253"/>
        <v>16.690690093115037</v>
      </c>
      <c r="T562" s="304">
        <f t="shared" ca="1" si="233"/>
        <v>163.73566981345851</v>
      </c>
      <c r="U562" s="311">
        <f t="shared" ca="1" si="234"/>
        <v>0</v>
      </c>
      <c r="V562" s="306">
        <f t="shared" ca="1" si="235"/>
        <v>1.0995909281572451</v>
      </c>
      <c r="W562" s="304">
        <f t="shared" ca="1" si="236"/>
        <v>1088.8789593276927</v>
      </c>
      <c r="Y562" s="314" t="str">
        <f t="shared" ca="1" si="254"/>
        <v/>
      </c>
      <c r="Z562" s="315" t="str">
        <f t="shared" ca="1" si="255"/>
        <v/>
      </c>
      <c r="AA562" s="316" t="str">
        <f t="shared" ca="1" si="256"/>
        <v/>
      </c>
      <c r="AC562" s="310" t="e">
        <f t="shared" ca="1" si="257"/>
        <v>#N/A</v>
      </c>
      <c r="AD562" s="323" t="e">
        <f t="shared" ca="1" si="258"/>
        <v>#N/A</v>
      </c>
      <c r="AE562" s="324">
        <f t="shared" ca="1" si="237"/>
        <v>1078.9775553513787</v>
      </c>
      <c r="AG562" s="306">
        <f t="shared" ca="1" si="259"/>
        <v>54.218905295706833</v>
      </c>
      <c r="AH562" s="304">
        <f t="shared" ca="1" si="260"/>
        <v>63.329421815056051</v>
      </c>
    </row>
    <row r="563" spans="1:34" x14ac:dyDescent="0.2">
      <c r="A563" s="347">
        <f t="shared" ca="1" si="238"/>
        <v>0.01</v>
      </c>
      <c r="B563" s="304">
        <f t="shared" ca="1" si="239"/>
        <v>5.5899999999999253</v>
      </c>
      <c r="D563" s="306">
        <f t="shared" ca="1" si="240"/>
        <v>23.404269897675462</v>
      </c>
      <c r="E563" s="307">
        <f t="shared" ca="1" si="241"/>
        <v>48.786486584743379</v>
      </c>
      <c r="F563" s="304">
        <f t="shared" ca="1" si="242"/>
        <v>54.109898565110832</v>
      </c>
      <c r="G563" s="306">
        <f t="shared" ca="1" si="243"/>
        <v>153.11137806773601</v>
      </c>
      <c r="H563" s="307">
        <f t="shared" ca="1" si="244"/>
        <v>383.24172859293344</v>
      </c>
      <c r="I563" s="304">
        <f t="shared" ca="1" si="245"/>
        <v>412.69518609828833</v>
      </c>
      <c r="J563" s="306">
        <f t="shared" ca="1" si="246"/>
        <v>405.01647923738955</v>
      </c>
      <c r="K563" s="307">
        <f t="shared" ca="1" si="247"/>
        <v>1082.8075333129789</v>
      </c>
      <c r="L563" s="304">
        <f t="shared" ca="1" si="232"/>
        <v>1156.0754744622811</v>
      </c>
      <c r="M563" s="306">
        <f t="shared" ca="1" si="248"/>
        <v>1.1907068654954909</v>
      </c>
      <c r="N563" s="304">
        <f t="shared" ca="1" si="249"/>
        <v>68.222478030143009</v>
      </c>
      <c r="P563" s="310">
        <f t="shared" ca="1" si="250"/>
        <v>16</v>
      </c>
      <c r="Q563" s="304">
        <f t="shared" ca="1" si="251"/>
        <v>2141.2090864600495</v>
      </c>
      <c r="R563" s="306">
        <f t="shared" ca="1" si="252"/>
        <v>1.2876677659558828</v>
      </c>
      <c r="S563" s="307">
        <f t="shared" ca="1" si="253"/>
        <v>16.677813415455478</v>
      </c>
      <c r="T563" s="304">
        <f t="shared" ca="1" si="233"/>
        <v>163.60934960561826</v>
      </c>
      <c r="U563" s="311">
        <f t="shared" ca="1" si="234"/>
        <v>0</v>
      </c>
      <c r="V563" s="306">
        <f t="shared" ca="1" si="235"/>
        <v>1.0991686346837357</v>
      </c>
      <c r="W563" s="304">
        <f t="shared" ca="1" si="236"/>
        <v>1091.3141624635175</v>
      </c>
      <c r="Y563" s="314" t="str">
        <f t="shared" ca="1" si="254"/>
        <v/>
      </c>
      <c r="Z563" s="315" t="str">
        <f t="shared" ca="1" si="255"/>
        <v/>
      </c>
      <c r="AA563" s="316" t="str">
        <f t="shared" ca="1" si="256"/>
        <v/>
      </c>
      <c r="AC563" s="310" t="e">
        <f t="shared" ca="1" si="257"/>
        <v>#N/A</v>
      </c>
      <c r="AD563" s="323" t="e">
        <f t="shared" ca="1" si="258"/>
        <v>#N/A</v>
      </c>
      <c r="AE563" s="324">
        <f t="shared" ca="1" si="237"/>
        <v>1082.8075333129789</v>
      </c>
      <c r="AG563" s="306">
        <f t="shared" ca="1" si="259"/>
        <v>53.98741226002717</v>
      </c>
      <c r="AH563" s="304">
        <f t="shared" ca="1" si="260"/>
        <v>63.097607637051098</v>
      </c>
    </row>
    <row r="564" spans="1:34" x14ac:dyDescent="0.2">
      <c r="A564" s="347">
        <f t="shared" ca="1" si="238"/>
        <v>0.01</v>
      </c>
      <c r="B564" s="304">
        <f t="shared" ca="1" si="239"/>
        <v>5.599999999999925</v>
      </c>
      <c r="D564" s="306">
        <f t="shared" ca="1" si="240"/>
        <v>23.323526800731457</v>
      </c>
      <c r="E564" s="307">
        <f t="shared" ca="1" si="241"/>
        <v>48.569389179304139</v>
      </c>
      <c r="F564" s="304">
        <f t="shared" ca="1" si="242"/>
        <v>53.879239672392785</v>
      </c>
      <c r="G564" s="306">
        <f t="shared" ca="1" si="243"/>
        <v>153.34461333574333</v>
      </c>
      <c r="H564" s="307">
        <f t="shared" ca="1" si="244"/>
        <v>383.7274224847265</v>
      </c>
      <c r="I564" s="304">
        <f t="shared" ca="1" si="245"/>
        <v>413.23274943530362</v>
      </c>
      <c r="J564" s="306">
        <f t="shared" ca="1" si="246"/>
        <v>406.54875919440695</v>
      </c>
      <c r="K564" s="307">
        <f t="shared" ca="1" si="247"/>
        <v>1086.6423790683671</v>
      </c>
      <c r="L564" s="304">
        <f t="shared" ca="1" si="232"/>
        <v>1160.2040999711528</v>
      </c>
      <c r="M564" s="306">
        <f t="shared" ca="1" si="248"/>
        <v>1.190618790559262</v>
      </c>
      <c r="N564" s="304">
        <f t="shared" ca="1" si="249"/>
        <v>68.217431708016221</v>
      </c>
      <c r="P564" s="310">
        <f t="shared" ca="1" si="250"/>
        <v>16</v>
      </c>
      <c r="Q564" s="304">
        <f t="shared" ca="1" si="251"/>
        <v>2138.973719412741</v>
      </c>
      <c r="R564" s="306">
        <f t="shared" ca="1" si="252"/>
        <v>1.2863234740275042</v>
      </c>
      <c r="S564" s="307">
        <f t="shared" ca="1" si="253"/>
        <v>16.664950180715202</v>
      </c>
      <c r="T564" s="304">
        <f t="shared" ca="1" si="233"/>
        <v>163.48316127281615</v>
      </c>
      <c r="U564" s="311">
        <f t="shared" ca="1" si="234"/>
        <v>0</v>
      </c>
      <c r="V564" s="306">
        <f t="shared" ca="1" si="235"/>
        <v>1.0987459581825034</v>
      </c>
      <c r="W564" s="304">
        <f t="shared" ca="1" si="236"/>
        <v>1093.7382846986964</v>
      </c>
      <c r="Y564" s="314" t="str">
        <f t="shared" ca="1" si="254"/>
        <v/>
      </c>
      <c r="Z564" s="315" t="str">
        <f t="shared" ca="1" si="255"/>
        <v/>
      </c>
      <c r="AA564" s="316" t="str">
        <f t="shared" ca="1" si="256"/>
        <v/>
      </c>
      <c r="AC564" s="310" t="e">
        <f t="shared" ca="1" si="257"/>
        <v>#N/A</v>
      </c>
      <c r="AD564" s="323" t="e">
        <f t="shared" ca="1" si="258"/>
        <v>#N/A</v>
      </c>
      <c r="AE564" s="324">
        <f t="shared" ca="1" si="237"/>
        <v>1086.6423790683671</v>
      </c>
      <c r="AG564" s="306">
        <f t="shared" ca="1" si="259"/>
        <v>53.756173425186496</v>
      </c>
      <c r="AH564" s="304">
        <f t="shared" ca="1" si="260"/>
        <v>62.866047938240015</v>
      </c>
    </row>
    <row r="565" spans="1:34" x14ac:dyDescent="0.2">
      <c r="A565" s="347">
        <f t="shared" ca="1" si="238"/>
        <v>0.01</v>
      </c>
      <c r="B565" s="304">
        <f t="shared" ca="1" si="239"/>
        <v>5.6099999999999248</v>
      </c>
      <c r="D565" s="306">
        <f t="shared" ca="1" si="240"/>
        <v>23.242835478675175</v>
      </c>
      <c r="E565" s="307">
        <f t="shared" ca="1" si="241"/>
        <v>48.352547450824972</v>
      </c>
      <c r="F565" s="304">
        <f t="shared" ca="1" si="242"/>
        <v>53.648841982591222</v>
      </c>
      <c r="G565" s="306">
        <f t="shared" ca="1" si="243"/>
        <v>153.57704169053008</v>
      </c>
      <c r="H565" s="307">
        <f t="shared" ca="1" si="244"/>
        <v>384.21094795923477</v>
      </c>
      <c r="I565" s="304">
        <f t="shared" ca="1" si="245"/>
        <v>413.76800295110866</v>
      </c>
      <c r="J565" s="306">
        <f t="shared" ca="1" si="246"/>
        <v>408.0833674695383</v>
      </c>
      <c r="K565" s="307">
        <f t="shared" ca="1" si="247"/>
        <v>1090.4820709205869</v>
      </c>
      <c r="L565" s="304">
        <f t="shared" ca="1" si="232"/>
        <v>1164.3380874147038</v>
      </c>
      <c r="M565" s="306">
        <f t="shared" ca="1" si="248"/>
        <v>1.1905308101664587</v>
      </c>
      <c r="N565" s="304">
        <f t="shared" ca="1" si="249"/>
        <v>68.212390802828679</v>
      </c>
      <c r="P565" s="310">
        <f t="shared" ca="1" si="250"/>
        <v>16</v>
      </c>
      <c r="Q565" s="304">
        <f t="shared" ca="1" si="251"/>
        <v>2136.738352365433</v>
      </c>
      <c r="R565" s="306">
        <f t="shared" ca="1" si="252"/>
        <v>1.2849791820991261</v>
      </c>
      <c r="S565" s="307">
        <f t="shared" ca="1" si="253"/>
        <v>16.652100388894212</v>
      </c>
      <c r="T565" s="304">
        <f t="shared" ca="1" si="233"/>
        <v>163.35710481505222</v>
      </c>
      <c r="U565" s="311">
        <f t="shared" ca="1" si="234"/>
        <v>0</v>
      </c>
      <c r="V565" s="306">
        <f t="shared" ca="1" si="235"/>
        <v>1.0983229015452836</v>
      </c>
      <c r="W565" s="304">
        <f t="shared" ca="1" si="236"/>
        <v>1096.1513016192105</v>
      </c>
      <c r="Y565" s="314" t="str">
        <f t="shared" ca="1" si="254"/>
        <v/>
      </c>
      <c r="Z565" s="315" t="str">
        <f t="shared" ca="1" si="255"/>
        <v/>
      </c>
      <c r="AA565" s="316" t="str">
        <f t="shared" ca="1" si="256"/>
        <v/>
      </c>
      <c r="AC565" s="310" t="e">
        <f t="shared" ca="1" si="257"/>
        <v>#N/A</v>
      </c>
      <c r="AD565" s="323" t="e">
        <f t="shared" ca="1" si="258"/>
        <v>#N/A</v>
      </c>
      <c r="AE565" s="324">
        <f t="shared" ca="1" si="237"/>
        <v>1090.4820709205869</v>
      </c>
      <c r="AG565" s="306">
        <f t="shared" ca="1" si="259"/>
        <v>53.525191440912472</v>
      </c>
      <c r="AH565" s="304">
        <f t="shared" ca="1" si="260"/>
        <v>62.634745365956647</v>
      </c>
    </row>
    <row r="566" spans="1:34" x14ac:dyDescent="0.2">
      <c r="A566" s="347">
        <f t="shared" ca="1" si="238"/>
        <v>0.01</v>
      </c>
      <c r="B566" s="304">
        <f t="shared" ca="1" si="239"/>
        <v>5.6199999999999246</v>
      </c>
      <c r="D566" s="306">
        <f t="shared" ca="1" si="240"/>
        <v>23.162197073852003</v>
      </c>
      <c r="E566" s="307">
        <f t="shared" ca="1" si="241"/>
        <v>48.135963775600153</v>
      </c>
      <c r="F566" s="304">
        <f t="shared" ca="1" si="242"/>
        <v>53.418708163843206</v>
      </c>
      <c r="G566" s="306">
        <f t="shared" ca="1" si="243"/>
        <v>153.80866366126861</v>
      </c>
      <c r="H566" s="307">
        <f t="shared" ca="1" si="244"/>
        <v>384.69230759699076</v>
      </c>
      <c r="I566" s="304">
        <f t="shared" ca="1" si="245"/>
        <v>414.30094924048029</v>
      </c>
      <c r="J566" s="306">
        <f t="shared" ca="1" si="246"/>
        <v>409.62029599629727</v>
      </c>
      <c r="K566" s="307">
        <f t="shared" ca="1" si="247"/>
        <v>1094.3265871983681</v>
      </c>
      <c r="L566" s="304">
        <f t="shared" ca="1" si="232"/>
        <v>1168.4774137061108</v>
      </c>
      <c r="M566" s="306">
        <f t="shared" ca="1" si="248"/>
        <v>1.1904429236048271</v>
      </c>
      <c r="N566" s="304">
        <f t="shared" ca="1" si="249"/>
        <v>68.20735527377127</v>
      </c>
      <c r="P566" s="310">
        <f t="shared" ca="1" si="250"/>
        <v>16</v>
      </c>
      <c r="Q566" s="304">
        <f t="shared" ca="1" si="251"/>
        <v>2134.5029853181245</v>
      </c>
      <c r="R566" s="306">
        <f t="shared" ca="1" si="252"/>
        <v>1.2836348901707475</v>
      </c>
      <c r="S566" s="307">
        <f t="shared" ca="1" si="253"/>
        <v>16.639264039992504</v>
      </c>
      <c r="T566" s="304">
        <f t="shared" ca="1" si="233"/>
        <v>163.23118023232647</v>
      </c>
      <c r="U566" s="311">
        <f t="shared" ca="1" si="234"/>
        <v>0</v>
      </c>
      <c r="V566" s="306">
        <f t="shared" ca="1" si="235"/>
        <v>1.0978994676576641</v>
      </c>
      <c r="W566" s="304">
        <f t="shared" ca="1" si="236"/>
        <v>1098.5531893197747</v>
      </c>
      <c r="Y566" s="314" t="str">
        <f t="shared" ca="1" si="254"/>
        <v/>
      </c>
      <c r="Z566" s="315" t="str">
        <f t="shared" ca="1" si="255"/>
        <v/>
      </c>
      <c r="AA566" s="316" t="str">
        <f t="shared" ca="1" si="256"/>
        <v/>
      </c>
      <c r="AC566" s="310" t="e">
        <f t="shared" ca="1" si="257"/>
        <v>#N/A</v>
      </c>
      <c r="AD566" s="323" t="e">
        <f t="shared" ca="1" si="258"/>
        <v>#N/A</v>
      </c>
      <c r="AE566" s="324">
        <f t="shared" ca="1" si="237"/>
        <v>1094.3265871983681</v>
      </c>
      <c r="AG566" s="306">
        <f t="shared" ca="1" si="259"/>
        <v>53.294468933151428</v>
      </c>
      <c r="AH566" s="304">
        <f t="shared" ca="1" si="260"/>
        <v>62.403702543768382</v>
      </c>
    </row>
    <row r="567" spans="1:34" x14ac:dyDescent="0.2">
      <c r="A567" s="347">
        <f t="shared" ca="1" si="238"/>
        <v>0.01</v>
      </c>
      <c r="B567" s="304">
        <f t="shared" ca="1" si="239"/>
        <v>5.6299999999999244</v>
      </c>
      <c r="D567" s="306">
        <f t="shared" ca="1" si="240"/>
        <v>23.081612719601946</v>
      </c>
      <c r="E567" s="307">
        <f t="shared" ca="1" si="241"/>
        <v>47.919640507888211</v>
      </c>
      <c r="F567" s="304">
        <f t="shared" ca="1" si="242"/>
        <v>53.188840861057791</v>
      </c>
      <c r="G567" s="306">
        <f t="shared" ca="1" si="243"/>
        <v>154.03947978846463</v>
      </c>
      <c r="H567" s="307">
        <f t="shared" ca="1" si="244"/>
        <v>385.17150400206964</v>
      </c>
      <c r="I567" s="304">
        <f t="shared" ca="1" si="245"/>
        <v>414.83159092421727</v>
      </c>
      <c r="J567" s="306">
        <f t="shared" ca="1" si="246"/>
        <v>411.15953671354595</v>
      </c>
      <c r="K567" s="307">
        <f t="shared" ca="1" si="247"/>
        <v>1098.1759062563633</v>
      </c>
      <c r="L567" s="304">
        <f t="shared" ca="1" si="232"/>
        <v>1172.622055784592</v>
      </c>
      <c r="M567" s="306">
        <f t="shared" ca="1" si="248"/>
        <v>1.1903551301668205</v>
      </c>
      <c r="N567" s="304">
        <f t="shared" ca="1" si="249"/>
        <v>68.202325080304561</v>
      </c>
      <c r="P567" s="310">
        <f t="shared" ca="1" si="250"/>
        <v>16</v>
      </c>
      <c r="Q567" s="304">
        <f t="shared" ca="1" si="251"/>
        <v>2132.2676182708165</v>
      </c>
      <c r="R567" s="306">
        <f t="shared" ca="1" si="252"/>
        <v>1.2822905982423691</v>
      </c>
      <c r="S567" s="307">
        <f t="shared" ca="1" si="253"/>
        <v>16.626441134010079</v>
      </c>
      <c r="T567" s="304">
        <f t="shared" ca="1" si="233"/>
        <v>163.1053875246389</v>
      </c>
      <c r="U567" s="311">
        <f t="shared" ca="1" si="234"/>
        <v>0</v>
      </c>
      <c r="V567" s="306">
        <f t="shared" ca="1" si="235"/>
        <v>1.0974756593990547</v>
      </c>
      <c r="W567" s="304">
        <f t="shared" ca="1" si="236"/>
        <v>1100.9439244016935</v>
      </c>
      <c r="Y567" s="314" t="str">
        <f t="shared" ca="1" si="254"/>
        <v/>
      </c>
      <c r="Z567" s="315" t="str">
        <f t="shared" ca="1" si="255"/>
        <v/>
      </c>
      <c r="AA567" s="316" t="str">
        <f t="shared" ca="1" si="256"/>
        <v/>
      </c>
      <c r="AC567" s="310" t="e">
        <f t="shared" ca="1" si="257"/>
        <v>#N/A</v>
      </c>
      <c r="AD567" s="323" t="e">
        <f t="shared" ca="1" si="258"/>
        <v>#N/A</v>
      </c>
      <c r="AE567" s="324">
        <f t="shared" ca="1" si="237"/>
        <v>1098.1759062563633</v>
      </c>
      <c r="AG567" s="306">
        <f t="shared" ca="1" si="259"/>
        <v>53.06400850408339</v>
      </c>
      <c r="AH567" s="304">
        <f t="shared" ca="1" si="260"/>
        <v>62.172922071491044</v>
      </c>
    </row>
    <row r="568" spans="1:34" x14ac:dyDescent="0.2">
      <c r="A568" s="347">
        <f t="shared" ca="1" si="238"/>
        <v>0.01</v>
      </c>
      <c r="B568" s="304">
        <f t="shared" ca="1" si="239"/>
        <v>5.6399999999999242</v>
      </c>
      <c r="D568" s="306">
        <f t="shared" ca="1" si="240"/>
        <v>23.001083540263078</v>
      </c>
      <c r="E568" s="307">
        <f t="shared" ca="1" si="241"/>
        <v>47.703579979928087</v>
      </c>
      <c r="F568" s="304">
        <f t="shared" ca="1" si="242"/>
        <v>52.95924269594078</v>
      </c>
      <c r="G568" s="306">
        <f t="shared" ca="1" si="243"/>
        <v>154.26949062386726</v>
      </c>
      <c r="H568" s="307">
        <f t="shared" ca="1" si="244"/>
        <v>385.64853980186894</v>
      </c>
      <c r="I568" s="304">
        <f t="shared" ca="1" si="245"/>
        <v>415.3599306489026</v>
      </c>
      <c r="J568" s="306">
        <f t="shared" ca="1" si="246"/>
        <v>412.70108156560758</v>
      </c>
      <c r="K568" s="307">
        <f t="shared" ca="1" si="247"/>
        <v>1102.0300064753831</v>
      </c>
      <c r="L568" s="304">
        <f t="shared" ca="1" si="232"/>
        <v>1176.7719906156651</v>
      </c>
      <c r="M568" s="306">
        <f t="shared" ca="1" si="248"/>
        <v>1.1902674291495559</v>
      </c>
      <c r="N568" s="304">
        <f t="shared" ca="1" si="249"/>
        <v>68.197300182156283</v>
      </c>
      <c r="P568" s="310">
        <f t="shared" ca="1" si="250"/>
        <v>16</v>
      </c>
      <c r="Q568" s="304">
        <f t="shared" ca="1" si="251"/>
        <v>2130.032251223508</v>
      </c>
      <c r="R568" s="306">
        <f t="shared" ca="1" si="252"/>
        <v>1.2809463063139905</v>
      </c>
      <c r="S568" s="307">
        <f t="shared" ca="1" si="253"/>
        <v>16.61363167094694</v>
      </c>
      <c r="T568" s="304">
        <f t="shared" ca="1" si="233"/>
        <v>162.9797266919895</v>
      </c>
      <c r="U568" s="311">
        <f t="shared" ca="1" si="234"/>
        <v>0</v>
      </c>
      <c r="V568" s="306">
        <f t="shared" ca="1" si="235"/>
        <v>1.0970514796426614</v>
      </c>
      <c r="W568" s="304">
        <f t="shared" ca="1" si="236"/>
        <v>1103.3234839707002</v>
      </c>
      <c r="Y568" s="314" t="str">
        <f t="shared" ca="1" si="254"/>
        <v/>
      </c>
      <c r="Z568" s="315" t="str">
        <f t="shared" ca="1" si="255"/>
        <v/>
      </c>
      <c r="AA568" s="316" t="str">
        <f t="shared" ca="1" si="256"/>
        <v/>
      </c>
      <c r="AC568" s="310" t="e">
        <f t="shared" ca="1" si="257"/>
        <v>#N/A</v>
      </c>
      <c r="AD568" s="323" t="e">
        <f t="shared" ca="1" si="258"/>
        <v>#N/A</v>
      </c>
      <c r="AE568" s="324">
        <f t="shared" ca="1" si="237"/>
        <v>1102.0300064753831</v>
      </c>
      <c r="AG568" s="306">
        <f t="shared" ca="1" si="259"/>
        <v>52.833812732138213</v>
      </c>
      <c r="AH568" s="304">
        <f t="shared" ca="1" si="260"/>
        <v>61.942406525204895</v>
      </c>
    </row>
    <row r="569" spans="1:34" x14ac:dyDescent="0.2">
      <c r="A569" s="347">
        <f t="shared" ca="1" si="238"/>
        <v>0.01</v>
      </c>
      <c r="B569" s="304">
        <f t="shared" ca="1" si="239"/>
        <v>5.649999999999924</v>
      </c>
      <c r="D569" s="306">
        <f t="shared" ca="1" si="240"/>
        <v>22.920610651175672</v>
      </c>
      <c r="E569" s="307">
        <f t="shared" ca="1" si="241"/>
        <v>47.487784501957243</v>
      </c>
      <c r="F569" s="304">
        <f t="shared" ca="1" si="242"/>
        <v>52.729916267021686</v>
      </c>
      <c r="G569" s="306">
        <f t="shared" ca="1" si="243"/>
        <v>154.49869673037901</v>
      </c>
      <c r="H569" s="307">
        <f t="shared" ca="1" si="244"/>
        <v>386.12341764688853</v>
      </c>
      <c r="I569" s="304">
        <f t="shared" ca="1" si="245"/>
        <v>415.8859710866659</v>
      </c>
      <c r="J569" s="306">
        <f t="shared" ca="1" si="246"/>
        <v>414.24492250237881</v>
      </c>
      <c r="K569" s="307">
        <f t="shared" ca="1" si="247"/>
        <v>1105.8888662626268</v>
      </c>
      <c r="L569" s="304">
        <f t="shared" ca="1" si="232"/>
        <v>1180.9271951914054</v>
      </c>
      <c r="M569" s="306">
        <f t="shared" ca="1" si="248"/>
        <v>1.1901798198547704</v>
      </c>
      <c r="N569" s="304">
        <f t="shared" ca="1" si="249"/>
        <v>68.192280539318958</v>
      </c>
      <c r="P569" s="310">
        <f t="shared" ca="1" si="250"/>
        <v>16</v>
      </c>
      <c r="Q569" s="304">
        <f t="shared" ca="1" si="251"/>
        <v>2127.7968841761999</v>
      </c>
      <c r="R569" s="306">
        <f t="shared" ca="1" si="252"/>
        <v>1.2796020143856122</v>
      </c>
      <c r="S569" s="307">
        <f t="shared" ca="1" si="253"/>
        <v>16.600835650803084</v>
      </c>
      <c r="T569" s="304">
        <f t="shared" ca="1" si="233"/>
        <v>162.85419773437826</v>
      </c>
      <c r="U569" s="311">
        <f t="shared" ca="1" si="234"/>
        <v>0</v>
      </c>
      <c r="V569" s="306">
        <f t="shared" ca="1" si="235"/>
        <v>1.0966269312554562</v>
      </c>
      <c r="W569" s="304">
        <f t="shared" ca="1" si="236"/>
        <v>1105.6918456347644</v>
      </c>
      <c r="Y569" s="314" t="str">
        <f t="shared" ca="1" si="254"/>
        <v/>
      </c>
      <c r="Z569" s="315" t="str">
        <f t="shared" ca="1" si="255"/>
        <v/>
      </c>
      <c r="AA569" s="316" t="str">
        <f t="shared" ca="1" si="256"/>
        <v/>
      </c>
      <c r="AC569" s="310" t="e">
        <f t="shared" ca="1" si="257"/>
        <v>#N/A</v>
      </c>
      <c r="AD569" s="323" t="e">
        <f t="shared" ca="1" si="258"/>
        <v>#N/A</v>
      </c>
      <c r="AE569" s="324">
        <f t="shared" ca="1" si="237"/>
        <v>1105.8888662626268</v>
      </c>
      <c r="AG569" s="306">
        <f t="shared" ca="1" si="259"/>
        <v>52.603884172013643</v>
      </c>
      <c r="AH569" s="304">
        <f t="shared" ca="1" si="260"/>
        <v>61.712158457272579</v>
      </c>
    </row>
    <row r="570" spans="1:34" x14ac:dyDescent="0.2">
      <c r="A570" s="347">
        <f t="shared" ca="1" si="238"/>
        <v>0.01</v>
      </c>
      <c r="B570" s="304">
        <f t="shared" ca="1" si="239"/>
        <v>5.6599999999999238</v>
      </c>
      <c r="D570" s="306">
        <f t="shared" ca="1" si="240"/>
        <v>22.840195158686939</v>
      </c>
      <c r="E570" s="307">
        <f t="shared" ca="1" si="241"/>
        <v>47.272256362231268</v>
      </c>
      <c r="F570" s="304">
        <f t="shared" ca="1" si="242"/>
        <v>52.500864149682535</v>
      </c>
      <c r="G570" s="306">
        <f t="shared" ca="1" si="243"/>
        <v>154.72709868196588</v>
      </c>
      <c r="H570" s="307">
        <f t="shared" ca="1" si="244"/>
        <v>386.59614021051084</v>
      </c>
      <c r="I570" s="304">
        <f t="shared" ca="1" si="245"/>
        <v>416.40971493494692</v>
      </c>
      <c r="J570" s="306">
        <f t="shared" ca="1" si="246"/>
        <v>415.79105147944051</v>
      </c>
      <c r="K570" s="307">
        <f t="shared" ca="1" si="247"/>
        <v>1109.7524640519139</v>
      </c>
      <c r="L570" s="304">
        <f t="shared" ca="1" si="232"/>
        <v>1185.0876465306999</v>
      </c>
      <c r="M570" s="306">
        <f t="shared" ca="1" si="248"/>
        <v>1.1900923015887792</v>
      </c>
      <c r="N570" s="304">
        <f t="shared" ca="1" si="249"/>
        <v>68.187266112047368</v>
      </c>
      <c r="P570" s="310">
        <f t="shared" ca="1" si="250"/>
        <v>16</v>
      </c>
      <c r="Q570" s="304">
        <f t="shared" ca="1" si="251"/>
        <v>2125.5615171288914</v>
      </c>
      <c r="R570" s="306">
        <f t="shared" ca="1" si="252"/>
        <v>1.2782577224572336</v>
      </c>
      <c r="S570" s="307">
        <f t="shared" ca="1" si="253"/>
        <v>16.588053073578511</v>
      </c>
      <c r="T570" s="304">
        <f t="shared" ca="1" si="233"/>
        <v>162.72880065180519</v>
      </c>
      <c r="U570" s="311">
        <f t="shared" ca="1" si="234"/>
        <v>0</v>
      </c>
      <c r="V570" s="306">
        <f t="shared" ca="1" si="235"/>
        <v>1.0962020170981526</v>
      </c>
      <c r="W570" s="304">
        <f t="shared" ca="1" si="236"/>
        <v>1108.0489875019002</v>
      </c>
      <c r="Y570" s="314" t="str">
        <f t="shared" ca="1" si="254"/>
        <v/>
      </c>
      <c r="Z570" s="315" t="str">
        <f t="shared" ca="1" si="255"/>
        <v/>
      </c>
      <c r="AA570" s="316" t="str">
        <f t="shared" ca="1" si="256"/>
        <v/>
      </c>
      <c r="AC570" s="310" t="e">
        <f t="shared" ca="1" si="257"/>
        <v>#N/A</v>
      </c>
      <c r="AD570" s="323" t="e">
        <f t="shared" ca="1" si="258"/>
        <v>#N/A</v>
      </c>
      <c r="AE570" s="324">
        <f t="shared" ca="1" si="237"/>
        <v>1109.7524640519139</v>
      </c>
      <c r="AG570" s="306">
        <f t="shared" ca="1" si="259"/>
        <v>52.374225354695099</v>
      </c>
      <c r="AH570" s="304">
        <f t="shared" ca="1" si="260"/>
        <v>61.482180396358736</v>
      </c>
    </row>
    <row r="571" spans="1:34" x14ac:dyDescent="0.2">
      <c r="A571" s="347">
        <f t="shared" ca="1" si="238"/>
        <v>0.01</v>
      </c>
      <c r="B571" s="304">
        <f t="shared" ca="1" si="239"/>
        <v>5.6699999999999235</v>
      </c>
      <c r="D571" s="306">
        <f t="shared" ca="1" si="240"/>
        <v>22.759838160156036</v>
      </c>
      <c r="E571" s="307">
        <f t="shared" ca="1" si="241"/>
        <v>47.056997827044285</v>
      </c>
      <c r="F571" s="304">
        <f t="shared" ca="1" si="242"/>
        <v>52.272088896187661</v>
      </c>
      <c r="G571" s="306">
        <f t="shared" ca="1" si="243"/>
        <v>154.95469706356744</v>
      </c>
      <c r="H571" s="307">
        <f t="shared" ca="1" si="244"/>
        <v>387.06671018878126</v>
      </c>
      <c r="I571" s="304">
        <f t="shared" ca="1" si="245"/>
        <v>416.93116491625801</v>
      </c>
      <c r="J571" s="306">
        <f t="shared" ca="1" si="246"/>
        <v>417.33946045816816</v>
      </c>
      <c r="K571" s="307">
        <f t="shared" ca="1" si="247"/>
        <v>1113.6207783039104</v>
      </c>
      <c r="L571" s="304">
        <f t="shared" ca="1" si="232"/>
        <v>1189.2533216794991</v>
      </c>
      <c r="M571" s="306">
        <f t="shared" ca="1" si="248"/>
        <v>1.1900048736624329</v>
      </c>
      <c r="N571" s="304">
        <f t="shared" ca="1" si="249"/>
        <v>68.182256860856143</v>
      </c>
      <c r="P571" s="310">
        <f t="shared" ca="1" si="250"/>
        <v>16</v>
      </c>
      <c r="Q571" s="304">
        <f t="shared" ca="1" si="251"/>
        <v>2123.3261500815834</v>
      </c>
      <c r="R571" s="306">
        <f t="shared" ca="1" si="252"/>
        <v>1.2769134305288554</v>
      </c>
      <c r="S571" s="307">
        <f t="shared" ca="1" si="253"/>
        <v>16.575283939273223</v>
      </c>
      <c r="T571" s="304">
        <f t="shared" ca="1" si="233"/>
        <v>162.60353544427034</v>
      </c>
      <c r="U571" s="311">
        <f t="shared" ca="1" si="234"/>
        <v>0</v>
      </c>
      <c r="V571" s="306">
        <f t="shared" ca="1" si="235"/>
        <v>1.0957767400251777</v>
      </c>
      <c r="W571" s="304">
        <f t="shared" ca="1" si="236"/>
        <v>1110.3948881779365</v>
      </c>
      <c r="Y571" s="314" t="str">
        <f t="shared" ca="1" si="254"/>
        <v/>
      </c>
      <c r="Z571" s="315" t="str">
        <f t="shared" ca="1" si="255"/>
        <v/>
      </c>
      <c r="AA571" s="316" t="str">
        <f t="shared" ca="1" si="256"/>
        <v/>
      </c>
      <c r="AC571" s="310" t="e">
        <f t="shared" ca="1" si="257"/>
        <v>#N/A</v>
      </c>
      <c r="AD571" s="323" t="e">
        <f t="shared" ca="1" si="258"/>
        <v>#N/A</v>
      </c>
      <c r="AE571" s="324">
        <f t="shared" ca="1" si="237"/>
        <v>1113.6207783039104</v>
      </c>
      <c r="AG571" s="306">
        <f t="shared" ca="1" si="259"/>
        <v>52.14483878747626</v>
      </c>
      <c r="AH571" s="304">
        <f t="shared" ca="1" si="260"/>
        <v>61.252474847450486</v>
      </c>
    </row>
    <row r="572" spans="1:34" x14ac:dyDescent="0.2">
      <c r="A572" s="347">
        <f t="shared" ca="1" si="238"/>
        <v>0.01</v>
      </c>
      <c r="B572" s="304">
        <f t="shared" ca="1" si="239"/>
        <v>5.6799999999999233</v>
      </c>
      <c r="D572" s="306">
        <f t="shared" ca="1" si="240"/>
        <v>22.679540743959937</v>
      </c>
      <c r="E572" s="307">
        <f t="shared" ca="1" si="241"/>
        <v>46.842011140751488</v>
      </c>
      <c r="F572" s="304">
        <f t="shared" ca="1" si="242"/>
        <v>52.043593035715979</v>
      </c>
      <c r="G572" s="306">
        <f t="shared" ca="1" si="243"/>
        <v>155.18149247100703</v>
      </c>
      <c r="H572" s="307">
        <f t="shared" ca="1" si="244"/>
        <v>387.53513030018877</v>
      </c>
      <c r="I572" s="304">
        <f t="shared" ca="1" si="245"/>
        <v>417.45032377794786</v>
      </c>
      <c r="J572" s="306">
        <f t="shared" ca="1" si="246"/>
        <v>418.89014140584101</v>
      </c>
      <c r="K572" s="307">
        <f t="shared" ca="1" si="247"/>
        <v>1117.4937875063551</v>
      </c>
      <c r="L572" s="304">
        <f t="shared" ca="1" si="232"/>
        <v>1193.4241977110671</v>
      </c>
      <c r="M572" s="306">
        <f t="shared" ca="1" si="248"/>
        <v>1.1899175353910774</v>
      </c>
      <c r="N572" s="304">
        <f t="shared" ca="1" si="249"/>
        <v>68.177252746517496</v>
      </c>
      <c r="P572" s="310">
        <f t="shared" ca="1" si="250"/>
        <v>16</v>
      </c>
      <c r="Q572" s="304">
        <f t="shared" ca="1" si="251"/>
        <v>2121.0907830342749</v>
      </c>
      <c r="R572" s="306">
        <f t="shared" ca="1" si="252"/>
        <v>1.2755691386004768</v>
      </c>
      <c r="S572" s="307">
        <f t="shared" ca="1" si="253"/>
        <v>16.562528247887219</v>
      </c>
      <c r="T572" s="304">
        <f t="shared" ca="1" si="233"/>
        <v>162.47840211177362</v>
      </c>
      <c r="U572" s="311">
        <f t="shared" ca="1" si="234"/>
        <v>0</v>
      </c>
      <c r="V572" s="306">
        <f t="shared" ca="1" si="235"/>
        <v>1.0953511028846445</v>
      </c>
      <c r="W572" s="304">
        <f t="shared" ca="1" si="236"/>
        <v>1112.7295267642783</v>
      </c>
      <c r="Y572" s="314" t="str">
        <f t="shared" ca="1" si="254"/>
        <v/>
      </c>
      <c r="Z572" s="315" t="str">
        <f t="shared" ca="1" si="255"/>
        <v/>
      </c>
      <c r="AA572" s="316" t="str">
        <f t="shared" ca="1" si="256"/>
        <v/>
      </c>
      <c r="AC572" s="310" t="e">
        <f t="shared" ca="1" si="257"/>
        <v>#N/A</v>
      </c>
      <c r="AD572" s="323" t="e">
        <f t="shared" ca="1" si="258"/>
        <v>#N/A</v>
      </c>
      <c r="AE572" s="324">
        <f t="shared" ca="1" si="237"/>
        <v>1117.4937875063551</v>
      </c>
      <c r="AG572" s="306">
        <f t="shared" ca="1" si="259"/>
        <v>51.915726953981945</v>
      </c>
      <c r="AH572" s="304">
        <f t="shared" ca="1" si="260"/>
        <v>61.023044291880176</v>
      </c>
    </row>
    <row r="573" spans="1:34" x14ac:dyDescent="0.2">
      <c r="A573" s="347">
        <f t="shared" ca="1" si="238"/>
        <v>0.01</v>
      </c>
      <c r="B573" s="304">
        <f t="shared" ca="1" si="239"/>
        <v>5.6899999999999231</v>
      </c>
      <c r="D573" s="306">
        <f t="shared" ca="1" si="240"/>
        <v>22.599303989499617</v>
      </c>
      <c r="E573" s="307">
        <f t="shared" ca="1" si="241"/>
        <v>46.627298525792931</v>
      </c>
      <c r="F573" s="304">
        <f t="shared" ca="1" si="242"/>
        <v>51.815379074394748</v>
      </c>
      <c r="G573" s="306">
        <f t="shared" ca="1" si="243"/>
        <v>155.40748551090203</v>
      </c>
      <c r="H573" s="307">
        <f t="shared" ca="1" si="244"/>
        <v>388.00140328544671</v>
      </c>
      <c r="I573" s="304">
        <f t="shared" ca="1" si="245"/>
        <v>417.96719429196486</v>
      </c>
      <c r="J573" s="306">
        <f t="shared" ca="1" si="246"/>
        <v>420.44308629575056</v>
      </c>
      <c r="K573" s="307">
        <f t="shared" ca="1" si="247"/>
        <v>1121.3714701742833</v>
      </c>
      <c r="L573" s="304">
        <f t="shared" ca="1" si="232"/>
        <v>1197.60025172623</v>
      </c>
      <c r="M573" s="306">
        <f t="shared" ca="1" si="248"/>
        <v>1.1898302860945105</v>
      </c>
      <c r="N573" s="304">
        <f t="shared" ca="1" si="249"/>
        <v>68.172253730058728</v>
      </c>
      <c r="P573" s="310">
        <f t="shared" ca="1" si="250"/>
        <v>16</v>
      </c>
      <c r="Q573" s="304">
        <f t="shared" ca="1" si="251"/>
        <v>2118.8554159869668</v>
      </c>
      <c r="R573" s="306">
        <f t="shared" ca="1" si="252"/>
        <v>1.2742248466720985</v>
      </c>
      <c r="S573" s="307">
        <f t="shared" ca="1" si="253"/>
        <v>16.549785999420497</v>
      </c>
      <c r="T573" s="304">
        <f t="shared" ca="1" si="233"/>
        <v>162.35340065431507</v>
      </c>
      <c r="U573" s="311">
        <f t="shared" ca="1" si="234"/>
        <v>0</v>
      </c>
      <c r="V573" s="306">
        <f t="shared" ca="1" si="235"/>
        <v>1.0949251085183285</v>
      </c>
      <c r="W573" s="304">
        <f t="shared" ca="1" si="236"/>
        <v>1115.052882855648</v>
      </c>
      <c r="Y573" s="314" t="str">
        <f t="shared" ca="1" si="254"/>
        <v/>
      </c>
      <c r="Z573" s="315" t="str">
        <f t="shared" ca="1" si="255"/>
        <v/>
      </c>
      <c r="AA573" s="316" t="str">
        <f t="shared" ca="1" si="256"/>
        <v/>
      </c>
      <c r="AC573" s="310" t="e">
        <f t="shared" ca="1" si="257"/>
        <v>#N/A</v>
      </c>
      <c r="AD573" s="323" t="e">
        <f t="shared" ca="1" si="258"/>
        <v>#N/A</v>
      </c>
      <c r="AE573" s="324">
        <f t="shared" ca="1" si="237"/>
        <v>1121.3714701742833</v>
      </c>
      <c r="AG573" s="306">
        <f t="shared" ca="1" si="259"/>
        <v>51.686892314192292</v>
      </c>
      <c r="AH573" s="304">
        <f t="shared" ca="1" si="260"/>
        <v>60.793891187349423</v>
      </c>
    </row>
    <row r="574" spans="1:34" x14ac:dyDescent="0.2">
      <c r="A574" s="347">
        <f t="shared" ca="1" si="238"/>
        <v>0.01</v>
      </c>
      <c r="B574" s="304">
        <f t="shared" ca="1" si="239"/>
        <v>5.6999999999999229</v>
      </c>
      <c r="D574" s="306">
        <f t="shared" ca="1" si="240"/>
        <v>22.519128967206903</v>
      </c>
      <c r="E574" s="307">
        <f t="shared" ca="1" si="241"/>
        <v>46.412862182718278</v>
      </c>
      <c r="F574" s="304">
        <f t="shared" ca="1" si="242"/>
        <v>51.587449495334596</v>
      </c>
      <c r="G574" s="306">
        <f t="shared" ca="1" si="243"/>
        <v>155.6326768005741</v>
      </c>
      <c r="H574" s="307">
        <f t="shared" ca="1" si="244"/>
        <v>388.46553190727388</v>
      </c>
      <c r="I574" s="304">
        <f t="shared" ca="1" si="245"/>
        <v>418.48177925462079</v>
      </c>
      <c r="J574" s="306">
        <f t="shared" ca="1" si="246"/>
        <v>421.99828710730793</v>
      </c>
      <c r="K574" s="307">
        <f t="shared" ca="1" si="247"/>
        <v>1125.253804850247</v>
      </c>
      <c r="L574" s="304">
        <f t="shared" ca="1" si="232"/>
        <v>1201.7814608536194</v>
      </c>
      <c r="M574" s="306">
        <f t="shared" ca="1" si="248"/>
        <v>1.189743125096943</v>
      </c>
      <c r="N574" s="304">
        <f t="shared" ca="1" si="249"/>
        <v>68.167259772759962</v>
      </c>
      <c r="P574" s="310">
        <f t="shared" ca="1" si="250"/>
        <v>16</v>
      </c>
      <c r="Q574" s="304">
        <f t="shared" ca="1" si="251"/>
        <v>2116.6200489396583</v>
      </c>
      <c r="R574" s="306">
        <f t="shared" ca="1" si="252"/>
        <v>1.2728805547437199</v>
      </c>
      <c r="S574" s="307">
        <f t="shared" ca="1" si="253"/>
        <v>16.537057193873061</v>
      </c>
      <c r="T574" s="304">
        <f t="shared" ca="1" si="233"/>
        <v>162.22853107189474</v>
      </c>
      <c r="U574" s="311">
        <f t="shared" ca="1" si="234"/>
        <v>0</v>
      </c>
      <c r="V574" s="306">
        <f t="shared" ca="1" si="235"/>
        <v>1.0944987597616396</v>
      </c>
      <c r="W574" s="304">
        <f t="shared" ca="1" si="236"/>
        <v>1117.3649365378078</v>
      </c>
      <c r="Y574" s="314" t="str">
        <f t="shared" ca="1" si="254"/>
        <v/>
      </c>
      <c r="Z574" s="315" t="str">
        <f t="shared" ca="1" si="255"/>
        <v/>
      </c>
      <c r="AA574" s="316" t="str">
        <f t="shared" ca="1" si="256"/>
        <v/>
      </c>
      <c r="AC574" s="310" t="e">
        <f t="shared" ca="1" si="257"/>
        <v>#N/A</v>
      </c>
      <c r="AD574" s="323" t="e">
        <f t="shared" ca="1" si="258"/>
        <v>#N/A</v>
      </c>
      <c r="AE574" s="324">
        <f t="shared" ca="1" si="237"/>
        <v>1125.253804850247</v>
      </c>
      <c r="AG574" s="306">
        <f t="shared" ca="1" si="259"/>
        <v>51.458337304468088</v>
      </c>
      <c r="AH574" s="304">
        <f t="shared" ca="1" si="260"/>
        <v>60.565017967954326</v>
      </c>
    </row>
    <row r="575" spans="1:34" x14ac:dyDescent="0.2">
      <c r="A575" s="347">
        <f t="shared" ca="1" si="238"/>
        <v>0.01</v>
      </c>
      <c r="B575" s="304">
        <f t="shared" ca="1" si="239"/>
        <v>5.7099999999999227</v>
      </c>
      <c r="D575" s="306">
        <f t="shared" ca="1" si="240"/>
        <v>22.439016738551846</v>
      </c>
      <c r="E575" s="307">
        <f t="shared" ca="1" si="241"/>
        <v>46.19870429021374</v>
      </c>
      <c r="F575" s="304">
        <f t="shared" ca="1" si="242"/>
        <v>51.359806758667069</v>
      </c>
      <c r="G575" s="306">
        <f t="shared" ca="1" si="243"/>
        <v>155.85706696795961</v>
      </c>
      <c r="H575" s="307">
        <f t="shared" ca="1" si="244"/>
        <v>388.92751895017602</v>
      </c>
      <c r="I575" s="304">
        <f t="shared" ca="1" si="245"/>
        <v>418.9940814863553</v>
      </c>
      <c r="J575" s="306">
        <f t="shared" ca="1" si="246"/>
        <v>423.55573582615062</v>
      </c>
      <c r="K575" s="307">
        <f t="shared" ca="1" si="247"/>
        <v>1129.1407701045343</v>
      </c>
      <c r="L575" s="304">
        <f t="shared" ca="1" si="232"/>
        <v>1205.9678022499161</v>
      </c>
      <c r="M575" s="306">
        <f t="shared" ca="1" si="248"/>
        <v>1.1896560517269583</v>
      </c>
      <c r="N575" s="304">
        <f t="shared" ca="1" si="249"/>
        <v>68.162270836151862</v>
      </c>
      <c r="P575" s="310">
        <f t="shared" ca="1" si="250"/>
        <v>16</v>
      </c>
      <c r="Q575" s="304">
        <f t="shared" ca="1" si="251"/>
        <v>2114.3846818923503</v>
      </c>
      <c r="R575" s="306">
        <f t="shared" ca="1" si="252"/>
        <v>1.2715362628153415</v>
      </c>
      <c r="S575" s="307">
        <f t="shared" ca="1" si="253"/>
        <v>16.524341831244907</v>
      </c>
      <c r="T575" s="304">
        <f t="shared" ca="1" si="233"/>
        <v>162.10379336451254</v>
      </c>
      <c r="U575" s="311">
        <f t="shared" ca="1" si="234"/>
        <v>0</v>
      </c>
      <c r="V575" s="306">
        <f t="shared" ca="1" si="235"/>
        <v>1.0940720594435973</v>
      </c>
      <c r="W575" s="304">
        <f t="shared" ca="1" si="236"/>
        <v>1119.6656683852677</v>
      </c>
      <c r="Y575" s="314" t="str">
        <f t="shared" ca="1" si="254"/>
        <v/>
      </c>
      <c r="Z575" s="315" t="str">
        <f t="shared" ca="1" si="255"/>
        <v/>
      </c>
      <c r="AA575" s="316" t="str">
        <f t="shared" ca="1" si="256"/>
        <v/>
      </c>
      <c r="AC575" s="310" t="e">
        <f t="shared" ca="1" si="257"/>
        <v>#N/A</v>
      </c>
      <c r="AD575" s="323" t="e">
        <f t="shared" ca="1" si="258"/>
        <v>#N/A</v>
      </c>
      <c r="AE575" s="324">
        <f t="shared" ca="1" si="237"/>
        <v>1129.1407701045343</v>
      </c>
      <c r="AG575" s="306">
        <f t="shared" ca="1" si="259"/>
        <v>51.230064337578263</v>
      </c>
      <c r="AH575" s="304">
        <f t="shared" ca="1" si="260"/>
        <v>60.336427044212826</v>
      </c>
    </row>
    <row r="576" spans="1:34" x14ac:dyDescent="0.2">
      <c r="A576" s="347">
        <f t="shared" ca="1" si="238"/>
        <v>0.01</v>
      </c>
      <c r="B576" s="304">
        <f t="shared" ca="1" si="239"/>
        <v>5.7199999999999225</v>
      </c>
      <c r="D576" s="306">
        <f t="shared" ca="1" si="240"/>
        <v>22.358968356050394</v>
      </c>
      <c r="E576" s="307">
        <f t="shared" ca="1" si="241"/>
        <v>45.984827005129389</v>
      </c>
      <c r="F576" s="304">
        <f t="shared" ca="1" si="242"/>
        <v>51.132453301582743</v>
      </c>
      <c r="G576" s="306">
        <f t="shared" ca="1" si="243"/>
        <v>156.08065665152012</v>
      </c>
      <c r="H576" s="307">
        <f t="shared" ca="1" si="244"/>
        <v>389.3873672202273</v>
      </c>
      <c r="I576" s="304">
        <f t="shared" ca="1" si="245"/>
        <v>419.50410383149989</v>
      </c>
      <c r="J576" s="306">
        <f t="shared" ca="1" si="246"/>
        <v>425.11542444424805</v>
      </c>
      <c r="K576" s="307">
        <f t="shared" ca="1" si="247"/>
        <v>1133.0323445353863</v>
      </c>
      <c r="L576" s="304">
        <f t="shared" ca="1" si="232"/>
        <v>1210.1592531000899</v>
      </c>
      <c r="M576" s="306">
        <f t="shared" ca="1" si="248"/>
        <v>1.189569065317472</v>
      </c>
      <c r="N576" s="304">
        <f t="shared" ca="1" si="249"/>
        <v>68.157286882013295</v>
      </c>
      <c r="P576" s="310">
        <f t="shared" ca="1" si="250"/>
        <v>16</v>
      </c>
      <c r="Q576" s="304">
        <f t="shared" ca="1" si="251"/>
        <v>2112.1493148450418</v>
      </c>
      <c r="R576" s="306">
        <f t="shared" ca="1" si="252"/>
        <v>1.2701919708869629</v>
      </c>
      <c r="S576" s="307">
        <f t="shared" ca="1" si="253"/>
        <v>16.511639911536037</v>
      </c>
      <c r="T576" s="304">
        <f t="shared" ca="1" si="233"/>
        <v>161.97918753216854</v>
      </c>
      <c r="U576" s="311">
        <f t="shared" ca="1" si="234"/>
        <v>0</v>
      </c>
      <c r="V576" s="306">
        <f t="shared" ca="1" si="235"/>
        <v>1.0936450103868081</v>
      </c>
      <c r="W576" s="304">
        <f t="shared" ca="1" si="236"/>
        <v>1121.9550594589728</v>
      </c>
      <c r="Y576" s="314" t="str">
        <f t="shared" ca="1" si="254"/>
        <v/>
      </c>
      <c r="Z576" s="315" t="str">
        <f t="shared" ca="1" si="255"/>
        <v/>
      </c>
      <c r="AA576" s="316" t="str">
        <f t="shared" ca="1" si="256"/>
        <v/>
      </c>
      <c r="AC576" s="310" t="e">
        <f t="shared" ca="1" si="257"/>
        <v>#N/A</v>
      </c>
      <c r="AD576" s="323" t="e">
        <f t="shared" ca="1" si="258"/>
        <v>#N/A</v>
      </c>
      <c r="AE576" s="324">
        <f t="shared" ca="1" si="237"/>
        <v>1133.0323445353863</v>
      </c>
      <c r="AG576" s="306">
        <f t="shared" ca="1" si="259"/>
        <v>51.002075802727944</v>
      </c>
      <c r="AH576" s="304">
        <f t="shared" ca="1" si="260"/>
        <v>60.108120803092646</v>
      </c>
    </row>
    <row r="577" spans="1:34" x14ac:dyDescent="0.2">
      <c r="A577" s="347">
        <f t="shared" ca="1" si="238"/>
        <v>0.01</v>
      </c>
      <c r="B577" s="304">
        <f t="shared" ca="1" si="239"/>
        <v>5.7299999999999223</v>
      </c>
      <c r="D577" s="306">
        <f t="shared" ca="1" si="240"/>
        <v>22.27898486327296</v>
      </c>
      <c r="E577" s="307">
        <f t="shared" ca="1" si="241"/>
        <v>45.771232462508763</v>
      </c>
      <c r="F577" s="304">
        <f t="shared" ca="1" si="242"/>
        <v>50.905391538372058</v>
      </c>
      <c r="G577" s="306">
        <f t="shared" ca="1" si="243"/>
        <v>156.30344650015286</v>
      </c>
      <c r="H577" s="307">
        <f t="shared" ca="1" si="244"/>
        <v>389.84507954485241</v>
      </c>
      <c r="I577" s="304">
        <f t="shared" ca="1" si="245"/>
        <v>420.01184915804276</v>
      </c>
      <c r="J577" s="306">
        <f t="shared" ca="1" si="246"/>
        <v>426.67734496000639</v>
      </c>
      <c r="K577" s="307">
        <f t="shared" ca="1" si="247"/>
        <v>1136.9285067692117</v>
      </c>
      <c r="L577" s="304">
        <f t="shared" ca="1" si="232"/>
        <v>1214.3557906176384</v>
      </c>
      <c r="M577" s="306">
        <f t="shared" ca="1" si="248"/>
        <v>1.1894821652056924</v>
      </c>
      <c r="N577" s="304">
        <f t="shared" ca="1" si="249"/>
        <v>68.152307872369107</v>
      </c>
      <c r="P577" s="310">
        <f t="shared" ca="1" si="250"/>
        <v>16</v>
      </c>
      <c r="Q577" s="304">
        <f t="shared" ca="1" si="251"/>
        <v>2109.9139477977337</v>
      </c>
      <c r="R577" s="306">
        <f t="shared" ca="1" si="252"/>
        <v>1.2688476789585845</v>
      </c>
      <c r="S577" s="307">
        <f t="shared" ca="1" si="253"/>
        <v>16.498951434746452</v>
      </c>
      <c r="T577" s="304">
        <f t="shared" ca="1" si="233"/>
        <v>161.8547135748627</v>
      </c>
      <c r="U577" s="311">
        <f t="shared" ca="1" si="234"/>
        <v>0</v>
      </c>
      <c r="V577" s="306">
        <f t="shared" ca="1" si="235"/>
        <v>1.0932176154074373</v>
      </c>
      <c r="W577" s="304">
        <f t="shared" ca="1" si="236"/>
        <v>1124.2330913039739</v>
      </c>
      <c r="Y577" s="314" t="str">
        <f t="shared" ca="1" si="254"/>
        <v/>
      </c>
      <c r="Z577" s="315" t="str">
        <f t="shared" ca="1" si="255"/>
        <v/>
      </c>
      <c r="AA577" s="316" t="str">
        <f t="shared" ca="1" si="256"/>
        <v/>
      </c>
      <c r="AC577" s="310" t="e">
        <f t="shared" ca="1" si="257"/>
        <v>#N/A</v>
      </c>
      <c r="AD577" s="323" t="e">
        <f t="shared" ca="1" si="258"/>
        <v>#N/A</v>
      </c>
      <c r="AE577" s="324">
        <f t="shared" ca="1" si="237"/>
        <v>1136.9285067692117</v>
      </c>
      <c r="AG577" s="306">
        <f t="shared" ca="1" si="259"/>
        <v>50.774374065588873</v>
      </c>
      <c r="AH577" s="304">
        <f t="shared" ca="1" si="260"/>
        <v>59.880101608041578</v>
      </c>
    </row>
    <row r="578" spans="1:34" x14ac:dyDescent="0.2">
      <c r="A578" s="347">
        <f t="shared" ca="1" si="238"/>
        <v>0.01</v>
      </c>
      <c r="B578" s="304">
        <f t="shared" ca="1" si="239"/>
        <v>5.7399999999999221</v>
      </c>
      <c r="D578" s="306">
        <f t="shared" ca="1" si="240"/>
        <v>22.19906729485324</v>
      </c>
      <c r="E578" s="307">
        <f t="shared" ca="1" si="241"/>
        <v>45.557922775619225</v>
      </c>
      <c r="F578" s="304">
        <f t="shared" ca="1" si="242"/>
        <v>50.678623860467127</v>
      </c>
      <c r="G578" s="306">
        <f t="shared" ca="1" si="243"/>
        <v>156.52543717310138</v>
      </c>
      <c r="H578" s="307">
        <f t="shared" ca="1" si="244"/>
        <v>390.30065877260859</v>
      </c>
      <c r="I578" s="304">
        <f t="shared" ca="1" si="245"/>
        <v>420.51732035739354</v>
      </c>
      <c r="J578" s="306">
        <f t="shared" ca="1" si="246"/>
        <v>428.24148937837265</v>
      </c>
      <c r="K578" s="307">
        <f t="shared" ca="1" si="247"/>
        <v>1140.8292354607991</v>
      </c>
      <c r="L578" s="304">
        <f t="shared" ca="1" si="232"/>
        <v>1218.5573920448221</v>
      </c>
      <c r="M578" s="306">
        <f t="shared" ca="1" si="248"/>
        <v>1.1893953507330826</v>
      </c>
      <c r="N578" s="304">
        <f t="shared" ca="1" si="249"/>
        <v>68.147333769487915</v>
      </c>
      <c r="P578" s="310">
        <f t="shared" ca="1" si="250"/>
        <v>16</v>
      </c>
      <c r="Q578" s="304">
        <f t="shared" ca="1" si="251"/>
        <v>2107.6785807504252</v>
      </c>
      <c r="R578" s="306">
        <f t="shared" ca="1" si="252"/>
        <v>1.2675033870302059</v>
      </c>
      <c r="S578" s="307">
        <f t="shared" ca="1" si="253"/>
        <v>16.48627640087615</v>
      </c>
      <c r="T578" s="304">
        <f t="shared" ca="1" si="233"/>
        <v>161.73037149259505</v>
      </c>
      <c r="U578" s="311">
        <f t="shared" ca="1" si="234"/>
        <v>0</v>
      </c>
      <c r="V578" s="306">
        <f t="shared" ca="1" si="235"/>
        <v>1.092789877315187</v>
      </c>
      <c r="W578" s="304">
        <f t="shared" ca="1" si="236"/>
        <v>1126.4997459470844</v>
      </c>
      <c r="Y578" s="314" t="str">
        <f t="shared" ca="1" si="254"/>
        <v/>
      </c>
      <c r="Z578" s="315" t="str">
        <f t="shared" ca="1" si="255"/>
        <v/>
      </c>
      <c r="AA578" s="316" t="str">
        <f t="shared" ca="1" si="256"/>
        <v/>
      </c>
      <c r="AC578" s="310" t="e">
        <f t="shared" ca="1" si="257"/>
        <v>#N/A</v>
      </c>
      <c r="AD578" s="323" t="e">
        <f t="shared" ca="1" si="258"/>
        <v>#N/A</v>
      </c>
      <c r="AE578" s="324">
        <f t="shared" ca="1" si="237"/>
        <v>1140.8292354607991</v>
      </c>
      <c r="AG578" s="306">
        <f t="shared" ca="1" si="259"/>
        <v>50.546961468330679</v>
      </c>
      <c r="AH578" s="304">
        <f t="shared" ca="1" si="260"/>
        <v>59.65237179901866</v>
      </c>
    </row>
    <row r="579" spans="1:34" x14ac:dyDescent="0.2">
      <c r="A579" s="347">
        <f t="shared" ca="1" si="238"/>
        <v>0.01</v>
      </c>
      <c r="B579" s="304">
        <f t="shared" ca="1" si="239"/>
        <v>5.7499999999999218</v>
      </c>
      <c r="D579" s="306">
        <f t="shared" ca="1" si="240"/>
        <v>22.119216676497643</v>
      </c>
      <c r="E579" s="307">
        <f t="shared" ca="1" si="241"/>
        <v>45.34490003598399</v>
      </c>
      <c r="F579" s="304">
        <f t="shared" ca="1" si="242"/>
        <v>50.452152636485515</v>
      </c>
      <c r="G579" s="306">
        <f t="shared" ca="1" si="243"/>
        <v>156.74662933986636</v>
      </c>
      <c r="H579" s="307">
        <f t="shared" ca="1" si="244"/>
        <v>390.75410777296844</v>
      </c>
      <c r="I579" s="304">
        <f t="shared" ca="1" si="245"/>
        <v>421.02052034414913</v>
      </c>
      <c r="J579" s="306">
        <f t="shared" ca="1" si="246"/>
        <v>429.80784971093749</v>
      </c>
      <c r="K579" s="307">
        <f t="shared" ca="1" si="247"/>
        <v>1144.734509293527</v>
      </c>
      <c r="L579" s="304">
        <f t="shared" ca="1" si="232"/>
        <v>1222.7640346528974</v>
      </c>
      <c r="M579" s="306">
        <f t="shared" ca="1" si="248"/>
        <v>1.1893086212453214</v>
      </c>
      <c r="N579" s="304">
        <f t="shared" ca="1" si="249"/>
        <v>68.142364535879878</v>
      </c>
      <c r="P579" s="310">
        <f t="shared" ca="1" si="250"/>
        <v>16</v>
      </c>
      <c r="Q579" s="304">
        <f t="shared" ca="1" si="251"/>
        <v>2105.4432137031172</v>
      </c>
      <c r="R579" s="306">
        <f t="shared" ca="1" si="252"/>
        <v>1.2661590951018278</v>
      </c>
      <c r="S579" s="307">
        <f t="shared" ca="1" si="253"/>
        <v>16.473614809925131</v>
      </c>
      <c r="T579" s="304">
        <f t="shared" ca="1" si="233"/>
        <v>161.60616128536554</v>
      </c>
      <c r="U579" s="311">
        <f t="shared" ca="1" si="234"/>
        <v>0</v>
      </c>
      <c r="V579" s="306">
        <f t="shared" ca="1" si="235"/>
        <v>1.0923617989132726</v>
      </c>
      <c r="W579" s="304">
        <f t="shared" ca="1" si="236"/>
        <v>1128.7550058945217</v>
      </c>
      <c r="Y579" s="314" t="str">
        <f t="shared" ca="1" si="254"/>
        <v/>
      </c>
      <c r="Z579" s="315" t="str">
        <f t="shared" ca="1" si="255"/>
        <v/>
      </c>
      <c r="AA579" s="316" t="str">
        <f t="shared" ca="1" si="256"/>
        <v/>
      </c>
      <c r="AC579" s="310" t="e">
        <f t="shared" ca="1" si="257"/>
        <v>#N/A</v>
      </c>
      <c r="AD579" s="323" t="e">
        <f t="shared" ca="1" si="258"/>
        <v>#N/A</v>
      </c>
      <c r="AE579" s="324">
        <f t="shared" ca="1" si="237"/>
        <v>1144.734509293527</v>
      </c>
      <c r="AG579" s="306">
        <f t="shared" ca="1" si="259"/>
        <v>50.31984032965395</v>
      </c>
      <c r="AH579" s="304">
        <f t="shared" ca="1" si="260"/>
        <v>59.424933692527063</v>
      </c>
    </row>
    <row r="580" spans="1:34" x14ac:dyDescent="0.2">
      <c r="A580" s="347">
        <f t="shared" ca="1" si="238"/>
        <v>0.01</v>
      </c>
      <c r="B580" s="304">
        <f t="shared" ca="1" si="239"/>
        <v>5.7599999999999216</v>
      </c>
      <c r="D580" s="306">
        <f t="shared" ca="1" si="240"/>
        <v>22.039434024995074</v>
      </c>
      <c r="E580" s="307">
        <f t="shared" ca="1" si="241"/>
        <v>45.132166313415006</v>
      </c>
      <c r="F580" s="304">
        <f t="shared" ca="1" si="242"/>
        <v>50.225980212275232</v>
      </c>
      <c r="G580" s="306">
        <f t="shared" ca="1" si="243"/>
        <v>156.96702368011631</v>
      </c>
      <c r="H580" s="307">
        <f t="shared" ca="1" si="244"/>
        <v>391.20542943610258</v>
      </c>
      <c r="I580" s="304">
        <f t="shared" ca="1" si="245"/>
        <v>421.52145205585873</v>
      </c>
      <c r="J580" s="306">
        <f t="shared" ca="1" si="246"/>
        <v>431.37641797603743</v>
      </c>
      <c r="K580" s="307">
        <f t="shared" ca="1" si="247"/>
        <v>1148.6443069795723</v>
      </c>
      <c r="L580" s="304">
        <f t="shared" ref="L580:L643" ca="1" si="261">SQRT(pos_x^2+pos_z^2)</f>
        <v>1226.9756957423481</v>
      </c>
      <c r="M580" s="306">
        <f t="shared" ca="1" si="248"/>
        <v>1.1892219760922653</v>
      </c>
      <c r="N580" s="304">
        <f t="shared" ca="1" si="249"/>
        <v>68.137400134294495</v>
      </c>
      <c r="P580" s="310">
        <f t="shared" ca="1" si="250"/>
        <v>16</v>
      </c>
      <c r="Q580" s="304">
        <f t="shared" ca="1" si="251"/>
        <v>2103.2078466558087</v>
      </c>
      <c r="R580" s="306">
        <f t="shared" ca="1" si="252"/>
        <v>1.2648148031734492</v>
      </c>
      <c r="S580" s="307">
        <f t="shared" ca="1" si="253"/>
        <v>16.460966661893398</v>
      </c>
      <c r="T580" s="304">
        <f t="shared" ref="T580:T643" ca="1" si="262">m*g</f>
        <v>161.48208295317423</v>
      </c>
      <c r="U580" s="311">
        <f t="shared" ref="U580:U643" ca="1" si="263">IF(pos_xz&lt;L_rampe,Poids*COS(Beta),0)</f>
        <v>0</v>
      </c>
      <c r="V580" s="306">
        <f t="shared" ref="V580:V643" ca="1" si="264">Rho_moyen*(20000-Alt_rampe-pos_z)/(20000+Alt_rampe+pos_z)</f>
        <v>1.0919333829983986</v>
      </c>
      <c r="W580" s="304">
        <f t="shared" ref="W580:W643" ca="1" si="265">1/2*Rho*Sref*Cx*vit_xz^2</f>
        <v>1130.9988541295284</v>
      </c>
      <c r="Y580" s="314" t="str">
        <f t="shared" ca="1" si="254"/>
        <v/>
      </c>
      <c r="Z580" s="315" t="str">
        <f t="shared" ca="1" si="255"/>
        <v/>
      </c>
      <c r="AA580" s="316" t="str">
        <f t="shared" ca="1" si="256"/>
        <v/>
      </c>
      <c r="AC580" s="310" t="e">
        <f t="shared" ca="1" si="257"/>
        <v>#N/A</v>
      </c>
      <c r="AD580" s="323" t="e">
        <f t="shared" ca="1" si="258"/>
        <v>#N/A</v>
      </c>
      <c r="AE580" s="324">
        <f t="shared" ref="AE580:AE643" ca="1" si="266">IF(t&lt;T_para, pos_z, NA())</f>
        <v>1148.6443069795723</v>
      </c>
      <c r="AG580" s="306">
        <f t="shared" ca="1" si="259"/>
        <v>50.09301294482411</v>
      </c>
      <c r="AH580" s="304">
        <f t="shared" ca="1" si="260"/>
        <v>59.197789581647939</v>
      </c>
    </row>
    <row r="581" spans="1:34" x14ac:dyDescent="0.2">
      <c r="A581" s="347">
        <f t="shared" ref="A581:A644" ca="1" si="267">IF(B580+0.01&lt;=T_ini+ROUNDUP(Temps_fin_propu,0), 0.01, IF(K580&gt;0, 0.1, 0.0001))</f>
        <v>0.01</v>
      </c>
      <c r="B581" s="304">
        <f t="shared" ref="B581:B644" ca="1" si="268">B580+pas</f>
        <v>5.7699999999999214</v>
      </c>
      <c r="D581" s="306">
        <f t="shared" ref="D581:D644" ca="1" si="269">IF(AND(L580&lt;L_rampe,Poussee&lt;Poids*SIN(M580)),0,(-W580+Poussee)/m*COS(M580)-U580/m*SIN(M580))</f>
        <v>21.959720348227538</v>
      </c>
      <c r="E581" s="307">
        <f t="shared" ref="E581:E644" ca="1" si="270">IF(AND(L580&lt;L_rampe,Poussee&lt;Poids*SIN(M580)),0,(-W580+Poussee)/m*SIN(M580)+U580/m*COS(M580)-Poids/m)</f>
        <v>44.919723656047772</v>
      </c>
      <c r="F581" s="304">
        <f t="shared" ref="F581:F644" ca="1" si="271">SQRT(acc_x^2+acc_z^2)</f>
        <v>50.000108910961949</v>
      </c>
      <c r="G581" s="306">
        <f t="shared" ref="G581:G644" ca="1" si="272">G580+acc_x*pas</f>
        <v>157.18662088359858</v>
      </c>
      <c r="H581" s="307">
        <f t="shared" ref="H581:H644" ca="1" si="273">H580+acc_z*pas</f>
        <v>391.65462667266303</v>
      </c>
      <c r="I581" s="304">
        <f t="shared" ref="I581:I644" ca="1" si="274">SQRT(vit_x^2+vit_z^2)</f>
        <v>422.02011845279037</v>
      </c>
      <c r="J581" s="306">
        <f t="shared" ref="J581:J644" ca="1" si="275">J580+0.5*(vit_x+G580)*pas*(K580&gt;=0)</f>
        <v>432.947186198856</v>
      </c>
      <c r="K581" s="307">
        <f t="shared" ref="K581:K644" ca="1" si="276">K580+0.5*(vit_z+H580)*pas</f>
        <v>1152.5586072601161</v>
      </c>
      <c r="L581" s="304">
        <f t="shared" ca="1" si="261"/>
        <v>1231.1923526431137</v>
      </c>
      <c r="M581" s="306">
        <f t="shared" ref="M581:M644" ca="1" si="277">IF(AND(L580&gt;L_rampe,G581&gt;0),ATAN2(G581,H581),$M$4)</f>
        <v>1.1891354146279109</v>
      </c>
      <c r="N581" s="304">
        <f t="shared" ref="N581:N644" ca="1" si="278">DEGREES(Beta)</f>
        <v>68.132440527718515</v>
      </c>
      <c r="P581" s="310">
        <f t="shared" ref="P581:P644" ca="1" si="279">MATCH(t-pas/2-T_ini,CdP_t)</f>
        <v>16</v>
      </c>
      <c r="Q581" s="304">
        <f t="shared" ref="Q581:Q644" ca="1" si="280">(INDEX(CdP,2,i_P+1)-INDEX(CdP,2,i_P+0))/(INDEX(CdP,1,i_P+1)-INDEX(CdP,1,i_P+0))*(t-pas/2-T_ini-INDEX(CdP,1,i_P+0))+INDEX(CdP,2,i_P+0)</f>
        <v>2100.9724796085006</v>
      </c>
      <c r="R581" s="306">
        <f t="shared" ref="R581:R644" ca="1" si="281">Poussee/(g*ISP)</f>
        <v>1.2634705112450708</v>
      </c>
      <c r="S581" s="307">
        <f t="shared" ref="S581:S644" ca="1" si="282">S580-Débit*pas</f>
        <v>16.448331956780947</v>
      </c>
      <c r="T581" s="304">
        <f t="shared" ca="1" si="262"/>
        <v>161.3581364960211</v>
      </c>
      <c r="U581" s="311">
        <f t="shared" ca="1" si="263"/>
        <v>0</v>
      </c>
      <c r="V581" s="306">
        <f t="shared" ca="1" si="264"/>
        <v>1.0915046323607354</v>
      </c>
      <c r="W581" s="304">
        <f t="shared" ca="1" si="265"/>
        <v>1133.2312741099829</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f t="shared" ca="1" si="266"/>
        <v>1152.5586072601161</v>
      </c>
      <c r="AG581" s="306">
        <f t="shared" ref="AG581:AG644" ca="1" si="288">IF(AND(L580&lt;L_rampe,Poussee&lt;Poids*SIN(M580)),0,(-W580+Poussee)/m-Poids*SIN(M580)/m)</f>
        <v>49.866481585707554</v>
      </c>
      <c r="AH581" s="304">
        <f t="shared" ref="AH581:AH644" ca="1" si="289">IF(AND(L580&lt;L_rampe,Poussee&lt;Poids*SIN(M580)), g*SIN(M580), (-W580+Poussee)/m)</f>
        <v>58.970941736076369</v>
      </c>
    </row>
    <row r="582" spans="1:34" x14ac:dyDescent="0.2">
      <c r="A582" s="347">
        <f t="shared" ca="1" si="267"/>
        <v>0.01</v>
      </c>
      <c r="B582" s="304">
        <f t="shared" ca="1" si="268"/>
        <v>5.7799999999999212</v>
      </c>
      <c r="D582" s="306">
        <f t="shared" ca="1" si="269"/>
        <v>21.880076645180861</v>
      </c>
      <c r="E582" s="307">
        <f t="shared" ca="1" si="270"/>
        <v>44.707574090376845</v>
      </c>
      <c r="F582" s="304">
        <f t="shared" ca="1" si="271"/>
        <v>49.77454103299722</v>
      </c>
      <c r="G582" s="306">
        <f t="shared" ca="1" si="272"/>
        <v>157.40542165005039</v>
      </c>
      <c r="H582" s="307">
        <f t="shared" ca="1" si="273"/>
        <v>392.10170241356678</v>
      </c>
      <c r="I582" s="304">
        <f t="shared" ca="1" si="274"/>
        <v>422.51652251769684</v>
      </c>
      <c r="J582" s="306">
        <f t="shared" ca="1" si="275"/>
        <v>434.52014641152425</v>
      </c>
      <c r="K582" s="307">
        <f t="shared" ca="1" si="276"/>
        <v>1156.4773889055473</v>
      </c>
      <c r="L582" s="304">
        <f t="shared" ca="1" si="261"/>
        <v>1235.4139827148165</v>
      </c>
      <c r="M582" s="306">
        <f t="shared" ca="1" si="277"/>
        <v>1.189048936210358</v>
      </c>
      <c r="N582" s="304">
        <f t="shared" ca="1" si="278"/>
        <v>68.127485679373763</v>
      </c>
      <c r="P582" s="310">
        <f t="shared" ca="1" si="279"/>
        <v>16</v>
      </c>
      <c r="Q582" s="304">
        <f t="shared" ca="1" si="280"/>
        <v>2098.7371125611921</v>
      </c>
      <c r="R582" s="306">
        <f t="shared" ca="1" si="281"/>
        <v>1.2621262193166922</v>
      </c>
      <c r="S582" s="307">
        <f t="shared" ca="1" si="282"/>
        <v>16.43571069458778</v>
      </c>
      <c r="T582" s="304">
        <f t="shared" ca="1" si="262"/>
        <v>161.23432191390611</v>
      </c>
      <c r="U582" s="311">
        <f t="shared" ca="1" si="263"/>
        <v>0</v>
      </c>
      <c r="V582" s="306">
        <f t="shared" ca="1" si="264"/>
        <v>1.0910755497838971</v>
      </c>
      <c r="W582" s="304">
        <f t="shared" ca="1" si="265"/>
        <v>1135.4522497659932</v>
      </c>
      <c r="Y582" s="314" t="str">
        <f t="shared" ca="1" si="283"/>
        <v/>
      </c>
      <c r="Z582" s="315" t="str">
        <f t="shared" ca="1" si="284"/>
        <v/>
      </c>
      <c r="AA582" s="316" t="str">
        <f t="shared" ca="1" si="285"/>
        <v/>
      </c>
      <c r="AC582" s="310" t="e">
        <f t="shared" ca="1" si="286"/>
        <v>#N/A</v>
      </c>
      <c r="AD582" s="323" t="e">
        <f t="shared" ca="1" si="287"/>
        <v>#N/A</v>
      </c>
      <c r="AE582" s="324">
        <f t="shared" ca="1" si="266"/>
        <v>1156.4773889055473</v>
      </c>
      <c r="AG582" s="306">
        <f t="shared" ca="1" si="288"/>
        <v>49.640248500808354</v>
      </c>
      <c r="AH582" s="304">
        <f t="shared" ca="1" si="289"/>
        <v>58.744392402157992</v>
      </c>
    </row>
    <row r="583" spans="1:34" x14ac:dyDescent="0.2">
      <c r="A583" s="347">
        <f t="shared" ca="1" si="267"/>
        <v>0.01</v>
      </c>
      <c r="B583" s="304">
        <f t="shared" ca="1" si="268"/>
        <v>5.789999999999921</v>
      </c>
      <c r="D583" s="306">
        <f t="shared" ca="1" si="269"/>
        <v>21.800503905956209</v>
      </c>
      <c r="E583" s="307">
        <f t="shared" ca="1" si="270"/>
        <v>44.495719621293027</v>
      </c>
      <c r="F583" s="304">
        <f t="shared" ca="1" si="271"/>
        <v>49.54927885620873</v>
      </c>
      <c r="G583" s="306">
        <f t="shared" ca="1" si="272"/>
        <v>157.62342668910995</v>
      </c>
      <c r="H583" s="307">
        <f t="shared" ca="1" si="273"/>
        <v>392.54665960977974</v>
      </c>
      <c r="I583" s="304">
        <f t="shared" ca="1" si="274"/>
        <v>423.01066725558292</v>
      </c>
      <c r="J583" s="306">
        <f t="shared" ca="1" si="275"/>
        <v>436.09529065322005</v>
      </c>
      <c r="K583" s="307">
        <f t="shared" ca="1" si="276"/>
        <v>1160.400630715664</v>
      </c>
      <c r="L583" s="304">
        <f t="shared" ca="1" si="261"/>
        <v>1239.6405633469838</v>
      </c>
      <c r="M583" s="306">
        <f t="shared" ca="1" si="277"/>
        <v>1.1889625402017718</v>
      </c>
      <c r="N583" s="304">
        <f t="shared" ca="1" si="278"/>
        <v>68.122535552714993</v>
      </c>
      <c r="P583" s="310">
        <f t="shared" ca="1" si="279"/>
        <v>16</v>
      </c>
      <c r="Q583" s="304">
        <f t="shared" ca="1" si="280"/>
        <v>2096.5017455138841</v>
      </c>
      <c r="R583" s="306">
        <f t="shared" ca="1" si="281"/>
        <v>1.2607819273883139</v>
      </c>
      <c r="S583" s="307">
        <f t="shared" ca="1" si="282"/>
        <v>16.423102875313898</v>
      </c>
      <c r="T583" s="304">
        <f t="shared" ca="1" si="262"/>
        <v>161.11063920682935</v>
      </c>
      <c r="U583" s="311">
        <f t="shared" ca="1" si="263"/>
        <v>0</v>
      </c>
      <c r="V583" s="306">
        <f t="shared" ca="1" si="264"/>
        <v>1.0906461380449193</v>
      </c>
      <c r="W583" s="304">
        <f t="shared" ca="1" si="265"/>
        <v>1137.6617654974759</v>
      </c>
      <c r="Y583" s="314" t="str">
        <f t="shared" ca="1" si="283"/>
        <v/>
      </c>
      <c r="Z583" s="315" t="str">
        <f t="shared" ca="1" si="284"/>
        <v/>
      </c>
      <c r="AA583" s="316" t="str">
        <f t="shared" ca="1" si="285"/>
        <v/>
      </c>
      <c r="AC583" s="310" t="e">
        <f t="shared" ca="1" si="286"/>
        <v>#N/A</v>
      </c>
      <c r="AD583" s="323" t="e">
        <f t="shared" ca="1" si="287"/>
        <v>#N/A</v>
      </c>
      <c r="AE583" s="324">
        <f t="shared" ca="1" si="266"/>
        <v>1160.400630715664</v>
      </c>
      <c r="AG583" s="306">
        <f t="shared" ca="1" si="288"/>
        <v>49.414315915306894</v>
      </c>
      <c r="AH583" s="304">
        <f t="shared" ca="1" si="289"/>
        <v>58.518143802927504</v>
      </c>
    </row>
    <row r="584" spans="1:34" x14ac:dyDescent="0.2">
      <c r="A584" s="347">
        <f t="shared" ca="1" si="267"/>
        <v>0.01</v>
      </c>
      <c r="B584" s="304">
        <f t="shared" ca="1" si="268"/>
        <v>5.7999999999999208</v>
      </c>
      <c r="D584" s="306">
        <f t="shared" ca="1" si="269"/>
        <v>21.721003111781933</v>
      </c>
      <c r="E584" s="307">
        <f t="shared" ca="1" si="270"/>
        <v>44.284162232121524</v>
      </c>
      <c r="F584" s="304">
        <f t="shared" ca="1" si="271"/>
        <v>49.324324635851823</v>
      </c>
      <c r="G584" s="306">
        <f t="shared" ca="1" si="272"/>
        <v>157.84063672022776</v>
      </c>
      <c r="H584" s="307">
        <f t="shared" ca="1" si="273"/>
        <v>392.98950123210096</v>
      </c>
      <c r="I584" s="304">
        <f t="shared" ca="1" si="274"/>
        <v>423.50255569347206</v>
      </c>
      <c r="J584" s="306">
        <f t="shared" ca="1" si="275"/>
        <v>437.67261097026676</v>
      </c>
      <c r="K584" s="307">
        <f t="shared" ca="1" si="276"/>
        <v>1164.3283115198733</v>
      </c>
      <c r="L584" s="304">
        <f t="shared" ca="1" si="261"/>
        <v>1243.8720719592709</v>
      </c>
      <c r="M584" s="306">
        <f t="shared" ca="1" si="277"/>
        <v>1.1888762259683483</v>
      </c>
      <c r="N584" s="304">
        <f t="shared" ca="1" si="278"/>
        <v>68.117590111427916</v>
      </c>
      <c r="P584" s="310">
        <f t="shared" ca="1" si="279"/>
        <v>16</v>
      </c>
      <c r="Q584" s="304">
        <f t="shared" ca="1" si="280"/>
        <v>2094.2663784665756</v>
      </c>
      <c r="R584" s="306">
        <f t="shared" ca="1" si="281"/>
        <v>1.2594376354599353</v>
      </c>
      <c r="S584" s="307">
        <f t="shared" ca="1" si="282"/>
        <v>16.410508498959299</v>
      </c>
      <c r="T584" s="304">
        <f t="shared" ca="1" si="262"/>
        <v>160.98708837479074</v>
      </c>
      <c r="U584" s="311">
        <f t="shared" ca="1" si="263"/>
        <v>0</v>
      </c>
      <c r="V584" s="306">
        <f t="shared" ca="1" si="264"/>
        <v>1.0902163999142371</v>
      </c>
      <c r="W584" s="304">
        <f t="shared" ca="1" si="265"/>
        <v>1139.8598061717221</v>
      </c>
      <c r="Y584" s="314" t="str">
        <f t="shared" ca="1" si="283"/>
        <v/>
      </c>
      <c r="Z584" s="315" t="str">
        <f t="shared" ca="1" si="284"/>
        <v/>
      </c>
      <c r="AA584" s="316" t="str">
        <f t="shared" ca="1" si="285"/>
        <v/>
      </c>
      <c r="AC584" s="310" t="e">
        <f t="shared" ca="1" si="286"/>
        <v>#N/A</v>
      </c>
      <c r="AD584" s="323" t="e">
        <f t="shared" ca="1" si="287"/>
        <v>#N/A</v>
      </c>
      <c r="AE584" s="324">
        <f t="shared" ca="1" si="266"/>
        <v>1164.3283115198733</v>
      </c>
      <c r="AG584" s="306">
        <f t="shared" ca="1" si="288"/>
        <v>49.188686031099472</v>
      </c>
      <c r="AH584" s="304">
        <f t="shared" ca="1" si="289"/>
        <v>58.292198138148152</v>
      </c>
    </row>
    <row r="585" spans="1:34" x14ac:dyDescent="0.2">
      <c r="A585" s="347">
        <f t="shared" ca="1" si="267"/>
        <v>0.01</v>
      </c>
      <c r="B585" s="304">
        <f t="shared" ca="1" si="268"/>
        <v>5.8099999999999206</v>
      </c>
      <c r="D585" s="306">
        <f t="shared" ca="1" si="269"/>
        <v>21.641575235025904</v>
      </c>
      <c r="E585" s="307">
        <f t="shared" ca="1" si="270"/>
        <v>44.072903884661599</v>
      </c>
      <c r="F585" s="304">
        <f t="shared" ca="1" si="271"/>
        <v>49.099680604662858</v>
      </c>
      <c r="G585" s="306">
        <f t="shared" ca="1" si="272"/>
        <v>158.05705247257802</v>
      </c>
      <c r="H585" s="307">
        <f t="shared" ca="1" si="273"/>
        <v>393.43023027094756</v>
      </c>
      <c r="I585" s="304">
        <f t="shared" ca="1" si="274"/>
        <v>423.99219088017423</v>
      </c>
      <c r="J585" s="306">
        <f t="shared" ca="1" si="275"/>
        <v>439.25209941623081</v>
      </c>
      <c r="K585" s="307">
        <f t="shared" ca="1" si="276"/>
        <v>1168.2604101773886</v>
      </c>
      <c r="L585" s="304">
        <f t="shared" ca="1" si="261"/>
        <v>1248.1084860016804</v>
      </c>
      <c r="M585" s="306">
        <f t="shared" ca="1" si="277"/>
        <v>1.1887899928802761</v>
      </c>
      <c r="N585" s="304">
        <f t="shared" ca="1" si="278"/>
        <v>68.112649319427007</v>
      </c>
      <c r="P585" s="310">
        <f t="shared" ca="1" si="279"/>
        <v>16</v>
      </c>
      <c r="Q585" s="304">
        <f t="shared" ca="1" si="280"/>
        <v>2092.0310114192675</v>
      </c>
      <c r="R585" s="306">
        <f t="shared" ca="1" si="281"/>
        <v>1.2580933435315571</v>
      </c>
      <c r="S585" s="307">
        <f t="shared" ca="1" si="282"/>
        <v>16.397927565523982</v>
      </c>
      <c r="T585" s="304">
        <f t="shared" ca="1" si="262"/>
        <v>160.86366941779028</v>
      </c>
      <c r="U585" s="311">
        <f t="shared" ca="1" si="263"/>
        <v>0</v>
      </c>
      <c r="V585" s="306">
        <f t="shared" ca="1" si="264"/>
        <v>1.0897863381556625</v>
      </c>
      <c r="W585" s="304">
        <f t="shared" ca="1" si="265"/>
        <v>1142.0463571209468</v>
      </c>
      <c r="Y585" s="314" t="str">
        <f t="shared" ca="1" si="283"/>
        <v/>
      </c>
      <c r="Z585" s="315" t="str">
        <f t="shared" ca="1" si="284"/>
        <v/>
      </c>
      <c r="AA585" s="316" t="str">
        <f t="shared" ca="1" si="285"/>
        <v/>
      </c>
      <c r="AC585" s="310" t="e">
        <f t="shared" ca="1" si="286"/>
        <v>#N/A</v>
      </c>
      <c r="AD585" s="323" t="e">
        <f t="shared" ca="1" si="287"/>
        <v>#N/A</v>
      </c>
      <c r="AE585" s="324">
        <f t="shared" ca="1" si="266"/>
        <v>1168.2604101773886</v>
      </c>
      <c r="AG585" s="306">
        <f t="shared" ca="1" si="288"/>
        <v>48.963361026839536</v>
      </c>
      <c r="AH585" s="304">
        <f t="shared" ca="1" si="289"/>
        <v>58.066557584352864</v>
      </c>
    </row>
    <row r="586" spans="1:34" x14ac:dyDescent="0.2">
      <c r="A586" s="347">
        <f t="shared" ca="1" si="267"/>
        <v>0.01</v>
      </c>
      <c r="B586" s="304">
        <f t="shared" ca="1" si="268"/>
        <v>5.8199999999999203</v>
      </c>
      <c r="D586" s="306">
        <f t="shared" ca="1" si="269"/>
        <v>21.562221239208455</v>
      </c>
      <c r="E586" s="307">
        <f t="shared" ca="1" si="270"/>
        <v>43.861946519227232</v>
      </c>
      <c r="F586" s="304">
        <f t="shared" ca="1" si="271"/>
        <v>48.875348972913962</v>
      </c>
      <c r="G586" s="306">
        <f t="shared" ca="1" si="272"/>
        <v>158.2726746849701</v>
      </c>
      <c r="H586" s="307">
        <f t="shared" ca="1" si="273"/>
        <v>393.86884973613985</v>
      </c>
      <c r="I586" s="304">
        <f t="shared" ca="1" si="274"/>
        <v>424.47957588605402</v>
      </c>
      <c r="J586" s="306">
        <f t="shared" ca="1" si="275"/>
        <v>440.83374805201856</v>
      </c>
      <c r="K586" s="307">
        <f t="shared" ca="1" si="276"/>
        <v>1172.1969055774241</v>
      </c>
      <c r="L586" s="304">
        <f t="shared" ca="1" si="261"/>
        <v>1252.3497829547778</v>
      </c>
      <c r="M586" s="306">
        <f t="shared" ca="1" si="277"/>
        <v>1.1887038403117025</v>
      </c>
      <c r="N586" s="304">
        <f t="shared" ca="1" si="278"/>
        <v>68.107713140853519</v>
      </c>
      <c r="P586" s="310">
        <f t="shared" ca="1" si="279"/>
        <v>16</v>
      </c>
      <c r="Q586" s="304">
        <f t="shared" ca="1" si="280"/>
        <v>2089.795644371959</v>
      </c>
      <c r="R586" s="306">
        <f t="shared" ca="1" si="281"/>
        <v>1.2567490516031785</v>
      </c>
      <c r="S586" s="307">
        <f t="shared" ca="1" si="282"/>
        <v>16.385360075007952</v>
      </c>
      <c r="T586" s="304">
        <f t="shared" ca="1" si="262"/>
        <v>160.74038233582803</v>
      </c>
      <c r="U586" s="311">
        <f t="shared" ca="1" si="263"/>
        <v>0</v>
      </c>
      <c r="V586" s="306">
        <f t="shared" ca="1" si="264"/>
        <v>1.0893559555263657</v>
      </c>
      <c r="W586" s="304">
        <f t="shared" ca="1" si="265"/>
        <v>1144.2214041398322</v>
      </c>
      <c r="Y586" s="314" t="str">
        <f t="shared" ca="1" si="283"/>
        <v/>
      </c>
      <c r="Z586" s="315" t="str">
        <f t="shared" ca="1" si="284"/>
        <v/>
      </c>
      <c r="AA586" s="316" t="str">
        <f t="shared" ca="1" si="285"/>
        <v/>
      </c>
      <c r="AC586" s="310" t="e">
        <f t="shared" ca="1" si="286"/>
        <v>#N/A</v>
      </c>
      <c r="AD586" s="323" t="e">
        <f t="shared" ca="1" si="287"/>
        <v>#N/A</v>
      </c>
      <c r="AE586" s="324">
        <f t="shared" ca="1" si="266"/>
        <v>1172.1969055774241</v>
      </c>
      <c r="AG586" s="306">
        <f t="shared" ca="1" si="288"/>
        <v>48.738343057979989</v>
      </c>
      <c r="AH586" s="304">
        <f t="shared" ca="1" si="289"/>
        <v>57.841224294886437</v>
      </c>
    </row>
    <row r="587" spans="1:34" x14ac:dyDescent="0.2">
      <c r="A587" s="347">
        <f t="shared" ca="1" si="267"/>
        <v>0.01</v>
      </c>
      <c r="B587" s="304">
        <f t="shared" ca="1" si="268"/>
        <v>5.8299999999999201</v>
      </c>
      <c r="D587" s="306">
        <f t="shared" ca="1" si="269"/>
        <v>21.482942079015569</v>
      </c>
      <c r="E587" s="307">
        <f t="shared" ca="1" si="270"/>
        <v>43.651292054689058</v>
      </c>
      <c r="F587" s="304">
        <f t="shared" ca="1" si="271"/>
        <v>48.651331928469318</v>
      </c>
      <c r="G587" s="306">
        <f t="shared" ca="1" si="272"/>
        <v>158.48750410576025</v>
      </c>
      <c r="H587" s="307">
        <f t="shared" ca="1" si="273"/>
        <v>394.30536265668673</v>
      </c>
      <c r="I587" s="304">
        <f t="shared" ca="1" si="274"/>
        <v>424.96471380279871</v>
      </c>
      <c r="J587" s="306">
        <f t="shared" ca="1" si="275"/>
        <v>442.41754894597221</v>
      </c>
      <c r="K587" s="307">
        <f t="shared" ca="1" si="276"/>
        <v>1176.1377766393882</v>
      </c>
      <c r="L587" s="304">
        <f t="shared" ca="1" si="261"/>
        <v>1256.5959403299078</v>
      </c>
      <c r="M587" s="306">
        <f t="shared" ca="1" si="277"/>
        <v>1.1886177676406977</v>
      </c>
      <c r="N587" s="304">
        <f t="shared" ca="1" si="278"/>
        <v>68.102781540073536</v>
      </c>
      <c r="P587" s="310">
        <f t="shared" ca="1" si="279"/>
        <v>16</v>
      </c>
      <c r="Q587" s="304">
        <f t="shared" ca="1" si="280"/>
        <v>2087.560277324651</v>
      </c>
      <c r="R587" s="306">
        <f t="shared" ca="1" si="281"/>
        <v>1.2554047596748001</v>
      </c>
      <c r="S587" s="307">
        <f t="shared" ca="1" si="282"/>
        <v>16.372806027411205</v>
      </c>
      <c r="T587" s="304">
        <f t="shared" ca="1" si="262"/>
        <v>160.61722712890392</v>
      </c>
      <c r="U587" s="311">
        <f t="shared" ca="1" si="263"/>
        <v>0</v>
      </c>
      <c r="V587" s="306">
        <f t="shared" ca="1" si="264"/>
        <v>1.0889252547768511</v>
      </c>
      <c r="W587" s="304">
        <f t="shared" ca="1" si="265"/>
        <v>1146.3849334830466</v>
      </c>
      <c r="Y587" s="314" t="str">
        <f t="shared" ca="1" si="283"/>
        <v/>
      </c>
      <c r="Z587" s="315" t="str">
        <f t="shared" ca="1" si="284"/>
        <v/>
      </c>
      <c r="AA587" s="316" t="str">
        <f t="shared" ca="1" si="285"/>
        <v/>
      </c>
      <c r="AC587" s="310" t="e">
        <f t="shared" ca="1" si="286"/>
        <v>#N/A</v>
      </c>
      <c r="AD587" s="323" t="e">
        <f t="shared" ca="1" si="287"/>
        <v>#N/A</v>
      </c>
      <c r="AE587" s="324">
        <f t="shared" ca="1" si="266"/>
        <v>1176.1377766393882</v>
      </c>
      <c r="AG587" s="306">
        <f t="shared" ca="1" si="288"/>
        <v>48.513634256816871</v>
      </c>
      <c r="AH587" s="304">
        <f t="shared" ca="1" si="289"/>
        <v>57.616200399949122</v>
      </c>
    </row>
    <row r="588" spans="1:34" x14ac:dyDescent="0.2">
      <c r="A588" s="347">
        <f t="shared" ca="1" si="267"/>
        <v>0.01</v>
      </c>
      <c r="B588" s="304">
        <f t="shared" ca="1" si="268"/>
        <v>5.8399999999999199</v>
      </c>
      <c r="D588" s="306">
        <f t="shared" ca="1" si="269"/>
        <v>21.403738700312751</v>
      </c>
      <c r="E588" s="307">
        <f t="shared" ca="1" si="270"/>
        <v>43.440942388517549</v>
      </c>
      <c r="F588" s="304">
        <f t="shared" ca="1" si="271"/>
        <v>48.427631636843103</v>
      </c>
      <c r="G588" s="306">
        <f t="shared" ca="1" si="272"/>
        <v>158.70154149276337</v>
      </c>
      <c r="H588" s="307">
        <f t="shared" ca="1" si="273"/>
        <v>394.73977208057192</v>
      </c>
      <c r="I588" s="304">
        <f t="shared" ca="1" si="274"/>
        <v>425.44760774318752</v>
      </c>
      <c r="J588" s="306">
        <f t="shared" ca="1" si="275"/>
        <v>444.00349417396484</v>
      </c>
      <c r="K588" s="307">
        <f t="shared" ca="1" si="276"/>
        <v>1180.0830023130745</v>
      </c>
      <c r="L588" s="304">
        <f t="shared" ca="1" si="261"/>
        <v>1260.8469356694054</v>
      </c>
      <c r="M588" s="306">
        <f t="shared" ca="1" si="277"/>
        <v>1.1885317742492199</v>
      </c>
      <c r="N588" s="304">
        <f t="shared" ca="1" si="278"/>
        <v>68.097854481675839</v>
      </c>
      <c r="P588" s="310">
        <f t="shared" ca="1" si="279"/>
        <v>16</v>
      </c>
      <c r="Q588" s="304">
        <f t="shared" ca="1" si="280"/>
        <v>2085.3249102773425</v>
      </c>
      <c r="R588" s="306">
        <f t="shared" ca="1" si="281"/>
        <v>1.2540604677464215</v>
      </c>
      <c r="S588" s="307">
        <f t="shared" ca="1" si="282"/>
        <v>16.36026542273374</v>
      </c>
      <c r="T588" s="304">
        <f t="shared" ca="1" si="262"/>
        <v>160.494203797018</v>
      </c>
      <c r="U588" s="311">
        <f t="shared" ca="1" si="263"/>
        <v>0</v>
      </c>
      <c r="V588" s="306">
        <f t="shared" ca="1" si="264"/>
        <v>1.0884942386509402</v>
      </c>
      <c r="W588" s="304">
        <f t="shared" ca="1" si="265"/>
        <v>1148.5369318627613</v>
      </c>
      <c r="Y588" s="314" t="str">
        <f t="shared" ca="1" si="283"/>
        <v/>
      </c>
      <c r="Z588" s="315" t="str">
        <f t="shared" ca="1" si="284"/>
        <v/>
      </c>
      <c r="AA588" s="316" t="str">
        <f t="shared" ca="1" si="285"/>
        <v/>
      </c>
      <c r="AC588" s="310" t="e">
        <f t="shared" ca="1" si="286"/>
        <v>#N/A</v>
      </c>
      <c r="AD588" s="323" t="e">
        <f t="shared" ca="1" si="287"/>
        <v>#N/A</v>
      </c>
      <c r="AE588" s="324">
        <f t="shared" ca="1" si="266"/>
        <v>1180.0830023130745</v>
      </c>
      <c r="AG588" s="306">
        <f t="shared" ca="1" si="288"/>
        <v>48.28923673253442</v>
      </c>
      <c r="AH588" s="304">
        <f t="shared" ca="1" si="289"/>
        <v>57.391488006641552</v>
      </c>
    </row>
    <row r="589" spans="1:34" x14ac:dyDescent="0.2">
      <c r="A589" s="347">
        <f t="shared" ca="1" si="267"/>
        <v>0.01</v>
      </c>
      <c r="B589" s="304">
        <f t="shared" ca="1" si="268"/>
        <v>5.8499999999999197</v>
      </c>
      <c r="D589" s="306">
        <f t="shared" ca="1" si="269"/>
        <v>21.324612040159266</v>
      </c>
      <c r="E589" s="307">
        <f t="shared" ca="1" si="270"/>
        <v>43.230899396827375</v>
      </c>
      <c r="F589" s="304">
        <f t="shared" ca="1" si="271"/>
        <v>48.204250241258961</v>
      </c>
      <c r="G589" s="306">
        <f t="shared" ca="1" si="272"/>
        <v>158.91478761316498</v>
      </c>
      <c r="H589" s="307">
        <f t="shared" ca="1" si="273"/>
        <v>395.17208107454019</v>
      </c>
      <c r="I589" s="304">
        <f t="shared" ca="1" si="274"/>
        <v>425.92826084086073</v>
      </c>
      <c r="J589" s="306">
        <f t="shared" ca="1" si="275"/>
        <v>445.59157581949449</v>
      </c>
      <c r="K589" s="307">
        <f t="shared" ca="1" si="276"/>
        <v>1184.0325615788502</v>
      </c>
      <c r="L589" s="304">
        <f t="shared" ca="1" si="261"/>
        <v>1265.1027465468067</v>
      </c>
      <c r="M589" s="306">
        <f t="shared" ca="1" si="277"/>
        <v>1.1884458595230805</v>
      </c>
      <c r="N589" s="304">
        <f t="shared" ca="1" si="278"/>
        <v>68.09293193047003</v>
      </c>
      <c r="P589" s="310">
        <f t="shared" ca="1" si="279"/>
        <v>16</v>
      </c>
      <c r="Q589" s="304">
        <f t="shared" ca="1" si="280"/>
        <v>2083.0895432300345</v>
      </c>
      <c r="R589" s="306">
        <f t="shared" ca="1" si="281"/>
        <v>1.2527161758180432</v>
      </c>
      <c r="S589" s="307">
        <f t="shared" ca="1" si="282"/>
        <v>16.347738260975561</v>
      </c>
      <c r="T589" s="304">
        <f t="shared" ca="1" si="262"/>
        <v>160.37131234017025</v>
      </c>
      <c r="U589" s="311">
        <f t="shared" ca="1" si="263"/>
        <v>0</v>
      </c>
      <c r="V589" s="306">
        <f t="shared" ca="1" si="264"/>
        <v>1.0880629098857477</v>
      </c>
      <c r="W589" s="304">
        <f t="shared" ca="1" si="265"/>
        <v>1150.6773864461477</v>
      </c>
      <c r="Y589" s="314" t="str">
        <f t="shared" ca="1" si="283"/>
        <v/>
      </c>
      <c r="Z589" s="315" t="str">
        <f t="shared" ca="1" si="284"/>
        <v/>
      </c>
      <c r="AA589" s="316" t="str">
        <f t="shared" ca="1" si="285"/>
        <v/>
      </c>
      <c r="AC589" s="310" t="e">
        <f t="shared" ca="1" si="286"/>
        <v>#N/A</v>
      </c>
      <c r="AD589" s="323" t="e">
        <f t="shared" ca="1" si="287"/>
        <v>#N/A</v>
      </c>
      <c r="AE589" s="324">
        <f t="shared" ca="1" si="266"/>
        <v>1184.0325615788502</v>
      </c>
      <c r="AG589" s="306">
        <f t="shared" ca="1" si="288"/>
        <v>48.065152571251311</v>
      </c>
      <c r="AH589" s="304">
        <f t="shared" ca="1" si="289"/>
        <v>57.167089199010896</v>
      </c>
    </row>
    <row r="590" spans="1:34" x14ac:dyDescent="0.2">
      <c r="A590" s="347">
        <f t="shared" ca="1" si="267"/>
        <v>0.01</v>
      </c>
      <c r="B590" s="304">
        <f t="shared" ca="1" si="268"/>
        <v>5.8599999999999195</v>
      </c>
      <c r="D590" s="306">
        <f t="shared" ca="1" si="269"/>
        <v>21.245563026822847</v>
      </c>
      <c r="E590" s="307">
        <f t="shared" ca="1" si="270"/>
        <v>43.021164934422828</v>
      </c>
      <c r="F590" s="304">
        <f t="shared" ca="1" si="271"/>
        <v>47.981189862710934</v>
      </c>
      <c r="G590" s="306">
        <f t="shared" ca="1" si="272"/>
        <v>159.12724324343321</v>
      </c>
      <c r="H590" s="307">
        <f t="shared" ca="1" si="273"/>
        <v>395.60229272388443</v>
      </c>
      <c r="I590" s="304">
        <f t="shared" ca="1" si="274"/>
        <v>426.40667625008956</v>
      </c>
      <c r="J590" s="306">
        <f t="shared" ca="1" si="275"/>
        <v>447.18178597377749</v>
      </c>
      <c r="K590" s="307">
        <f t="shared" ca="1" si="276"/>
        <v>1187.9864334478423</v>
      </c>
      <c r="L590" s="304">
        <f t="shared" ca="1" si="261"/>
        <v>1269.3633505670557</v>
      </c>
      <c r="M590" s="306">
        <f t="shared" ca="1" si="277"/>
        <v>1.1883600228519102</v>
      </c>
      <c r="N590" s="304">
        <f t="shared" ca="1" si="278"/>
        <v>68.088013851484519</v>
      </c>
      <c r="P590" s="310">
        <f t="shared" ca="1" si="279"/>
        <v>16</v>
      </c>
      <c r="Q590" s="304">
        <f t="shared" ca="1" si="280"/>
        <v>2080.854176182726</v>
      </c>
      <c r="R590" s="306">
        <f t="shared" ca="1" si="281"/>
        <v>1.2513718838896646</v>
      </c>
      <c r="S590" s="307">
        <f t="shared" ca="1" si="282"/>
        <v>16.335224542136665</v>
      </c>
      <c r="T590" s="304">
        <f t="shared" ca="1" si="262"/>
        <v>160.24855275836069</v>
      </c>
      <c r="U590" s="311">
        <f t="shared" ca="1" si="263"/>
        <v>0</v>
      </c>
      <c r="V590" s="306">
        <f t="shared" ca="1" si="264"/>
        <v>1.0876312712116654</v>
      </c>
      <c r="W590" s="304">
        <f t="shared" ca="1" si="265"/>
        <v>1152.8062848528664</v>
      </c>
      <c r="Y590" s="314" t="str">
        <f t="shared" ca="1" si="283"/>
        <v/>
      </c>
      <c r="Z590" s="315" t="str">
        <f t="shared" ca="1" si="284"/>
        <v/>
      </c>
      <c r="AA590" s="316" t="str">
        <f t="shared" ca="1" si="285"/>
        <v/>
      </c>
      <c r="AC590" s="310" t="e">
        <f t="shared" ca="1" si="286"/>
        <v>#N/A</v>
      </c>
      <c r="AD590" s="323" t="e">
        <f t="shared" ca="1" si="287"/>
        <v>#N/A</v>
      </c>
      <c r="AE590" s="324">
        <f t="shared" ca="1" si="266"/>
        <v>1187.9864334478423</v>
      </c>
      <c r="AG590" s="306">
        <f t="shared" ca="1" si="288"/>
        <v>47.841383836068132</v>
      </c>
      <c r="AH590" s="304">
        <f t="shared" ca="1" si="289"/>
        <v>56.943006038098218</v>
      </c>
    </row>
    <row r="591" spans="1:34" x14ac:dyDescent="0.2">
      <c r="A591" s="347">
        <f t="shared" ca="1" si="267"/>
        <v>0.01</v>
      </c>
      <c r="B591" s="304">
        <f t="shared" ca="1" si="268"/>
        <v>5.8699999999999193</v>
      </c>
      <c r="D591" s="306">
        <f t="shared" ca="1" si="269"/>
        <v>21.166592579794891</v>
      </c>
      <c r="E591" s="307">
        <f t="shared" ca="1" si="270"/>
        <v>42.811740834844578</v>
      </c>
      <c r="F591" s="304">
        <f t="shared" ca="1" si="271"/>
        <v>47.758452600025961</v>
      </c>
      <c r="G591" s="306">
        <f t="shared" ca="1" si="272"/>
        <v>159.33890916923116</v>
      </c>
      <c r="H591" s="307">
        <f t="shared" ca="1" si="273"/>
        <v>396.03041013223287</v>
      </c>
      <c r="I591" s="304">
        <f t="shared" ca="1" si="274"/>
        <v>426.8828571455465</v>
      </c>
      <c r="J591" s="306">
        <f t="shared" ca="1" si="275"/>
        <v>448.77411673584083</v>
      </c>
      <c r="K591" s="307">
        <f t="shared" ca="1" si="276"/>
        <v>1191.9445969621229</v>
      </c>
      <c r="L591" s="304">
        <f t="shared" ca="1" si="261"/>
        <v>1273.6287253667106</v>
      </c>
      <c r="M591" s="306">
        <f t="shared" ca="1" si="277"/>
        <v>1.1882742636291264</v>
      </c>
      <c r="N591" s="304">
        <f t="shared" ca="1" si="278"/>
        <v>68.083100209964684</v>
      </c>
      <c r="P591" s="310">
        <f t="shared" ca="1" si="279"/>
        <v>16</v>
      </c>
      <c r="Q591" s="304">
        <f t="shared" ca="1" si="280"/>
        <v>2078.6188091354179</v>
      </c>
      <c r="R591" s="306">
        <f t="shared" ca="1" si="281"/>
        <v>1.2500275919612862</v>
      </c>
      <c r="S591" s="307">
        <f t="shared" ca="1" si="282"/>
        <v>16.322724266217051</v>
      </c>
      <c r="T591" s="304">
        <f t="shared" ca="1" si="262"/>
        <v>160.12592505158929</v>
      </c>
      <c r="U591" s="311">
        <f t="shared" ca="1" si="263"/>
        <v>0</v>
      </c>
      <c r="V591" s="306">
        <f t="shared" ca="1" si="264"/>
        <v>1.0871993253523407</v>
      </c>
      <c r="W591" s="304">
        <f t="shared" ca="1" si="265"/>
        <v>1154.9236151525445</v>
      </c>
      <c r="Y591" s="314" t="str">
        <f t="shared" ca="1" si="283"/>
        <v/>
      </c>
      <c r="Z591" s="315" t="str">
        <f t="shared" ca="1" si="284"/>
        <v/>
      </c>
      <c r="AA591" s="316" t="str">
        <f t="shared" ca="1" si="285"/>
        <v/>
      </c>
      <c r="AC591" s="310" t="e">
        <f t="shared" ca="1" si="286"/>
        <v>#N/A</v>
      </c>
      <c r="AD591" s="323" t="e">
        <f t="shared" ca="1" si="287"/>
        <v>#N/A</v>
      </c>
      <c r="AE591" s="324">
        <f t="shared" ca="1" si="266"/>
        <v>1191.9445969621229</v>
      </c>
      <c r="AG591" s="306">
        <f t="shared" ca="1" si="288"/>
        <v>47.617932567116242</v>
      </c>
      <c r="AH591" s="304">
        <f t="shared" ca="1" si="289"/>
        <v>56.719240561987235</v>
      </c>
    </row>
    <row r="592" spans="1:34" x14ac:dyDescent="0.2">
      <c r="A592" s="347">
        <f t="shared" ca="1" si="267"/>
        <v>0.01</v>
      </c>
      <c r="B592" s="304">
        <f t="shared" ca="1" si="268"/>
        <v>5.8799999999999191</v>
      </c>
      <c r="D592" s="306">
        <f t="shared" ca="1" si="269"/>
        <v>21.08770160980594</v>
      </c>
      <c r="E592" s="307">
        <f t="shared" ca="1" si="270"/>
        <v>42.602628910417266</v>
      </c>
      <c r="F592" s="304">
        <f t="shared" ca="1" si="271"/>
        <v>47.536040529927746</v>
      </c>
      <c r="G592" s="306">
        <f t="shared" ca="1" si="272"/>
        <v>159.54978618532922</v>
      </c>
      <c r="H592" s="307">
        <f t="shared" ca="1" si="273"/>
        <v>396.45643642133706</v>
      </c>
      <c r="I592" s="304">
        <f t="shared" ca="1" si="274"/>
        <v>427.35680672207616</v>
      </c>
      <c r="J592" s="306">
        <f t="shared" ca="1" si="275"/>
        <v>450.36856021261366</v>
      </c>
      <c r="K592" s="307">
        <f t="shared" ca="1" si="276"/>
        <v>1195.9070311948908</v>
      </c>
      <c r="L592" s="304">
        <f t="shared" ca="1" si="261"/>
        <v>1277.8988486141461</v>
      </c>
      <c r="M592" s="306">
        <f t="shared" ca="1" si="277"/>
        <v>1.1881885812518973</v>
      </c>
      <c r="N592" s="304">
        <f t="shared" ca="1" si="278"/>
        <v>68.078190971370802</v>
      </c>
      <c r="P592" s="310">
        <f t="shared" ca="1" si="279"/>
        <v>16</v>
      </c>
      <c r="Q592" s="304">
        <f t="shared" ca="1" si="280"/>
        <v>2076.3834420881094</v>
      </c>
      <c r="R592" s="306">
        <f t="shared" ca="1" si="281"/>
        <v>1.2486833000329076</v>
      </c>
      <c r="S592" s="307">
        <f t="shared" ca="1" si="282"/>
        <v>16.310237433216724</v>
      </c>
      <c r="T592" s="304">
        <f t="shared" ca="1" si="262"/>
        <v>160.00342921985606</v>
      </c>
      <c r="U592" s="311">
        <f t="shared" ca="1" si="263"/>
        <v>0</v>
      </c>
      <c r="V592" s="306">
        <f t="shared" ca="1" si="264"/>
        <v>1.0867670750246585</v>
      </c>
      <c r="W592" s="304">
        <f t="shared" ca="1" si="265"/>
        <v>1157.029365862239</v>
      </c>
      <c r="Y592" s="314" t="str">
        <f t="shared" ca="1" si="283"/>
        <v/>
      </c>
      <c r="Z592" s="315" t="str">
        <f t="shared" ca="1" si="284"/>
        <v/>
      </c>
      <c r="AA592" s="316" t="str">
        <f t="shared" ca="1" si="285"/>
        <v/>
      </c>
      <c r="AC592" s="310" t="e">
        <f t="shared" ca="1" si="286"/>
        <v>#N/A</v>
      </c>
      <c r="AD592" s="323" t="e">
        <f t="shared" ca="1" si="287"/>
        <v>#N/A</v>
      </c>
      <c r="AE592" s="324">
        <f t="shared" ca="1" si="266"/>
        <v>1195.9070311948908</v>
      </c>
      <c r="AG592" s="306">
        <f t="shared" ca="1" si="288"/>
        <v>47.394800781607501</v>
      </c>
      <c r="AH592" s="304">
        <f t="shared" ca="1" si="289"/>
        <v>56.495794785853931</v>
      </c>
    </row>
    <row r="593" spans="1:34" x14ac:dyDescent="0.2">
      <c r="A593" s="347">
        <f t="shared" ca="1" si="267"/>
        <v>0.01</v>
      </c>
      <c r="B593" s="304">
        <f t="shared" ca="1" si="268"/>
        <v>5.8899999999999189</v>
      </c>
      <c r="D593" s="306">
        <f t="shared" ca="1" si="269"/>
        <v>21.008891018841954</v>
      </c>
      <c r="E593" s="307">
        <f t="shared" ca="1" si="270"/>
        <v>42.393830952298593</v>
      </c>
      <c r="F593" s="304">
        <f t="shared" ca="1" si="271"/>
        <v>47.313955707102409</v>
      </c>
      <c r="G593" s="306">
        <f t="shared" ca="1" si="272"/>
        <v>159.75987509551766</v>
      </c>
      <c r="H593" s="307">
        <f t="shared" ca="1" si="273"/>
        <v>396.88037473086007</v>
      </c>
      <c r="I593" s="304">
        <f t="shared" ca="1" si="274"/>
        <v>427.8285281944664</v>
      </c>
      <c r="J593" s="306">
        <f t="shared" ca="1" si="275"/>
        <v>451.96510851901792</v>
      </c>
      <c r="K593" s="307">
        <f t="shared" ca="1" si="276"/>
        <v>1199.8737152506517</v>
      </c>
      <c r="L593" s="304">
        <f t="shared" ca="1" si="261"/>
        <v>1282.1736980097546</v>
      </c>
      <c r="M593" s="306">
        <f t="shared" ca="1" si="277"/>
        <v>1.1881029751211118</v>
      </c>
      <c r="N593" s="304">
        <f t="shared" ca="1" si="278"/>
        <v>68.073286101376354</v>
      </c>
      <c r="P593" s="310">
        <f t="shared" ca="1" si="279"/>
        <v>16</v>
      </c>
      <c r="Q593" s="304">
        <f t="shared" ca="1" si="280"/>
        <v>2074.1480750408014</v>
      </c>
      <c r="R593" s="306">
        <f t="shared" ca="1" si="281"/>
        <v>1.2473390081045295</v>
      </c>
      <c r="S593" s="307">
        <f t="shared" ca="1" si="282"/>
        <v>16.297764043135679</v>
      </c>
      <c r="T593" s="304">
        <f t="shared" ca="1" si="262"/>
        <v>159.88106526316102</v>
      </c>
      <c r="U593" s="311">
        <f t="shared" ca="1" si="263"/>
        <v>0</v>
      </c>
      <c r="V593" s="306">
        <f t="shared" ca="1" si="264"/>
        <v>1.0863345229387213</v>
      </c>
      <c r="W593" s="304">
        <f t="shared" ca="1" si="265"/>
        <v>1159.1235259438906</v>
      </c>
      <c r="Y593" s="314" t="str">
        <f t="shared" ca="1" si="283"/>
        <v/>
      </c>
      <c r="Z593" s="315" t="str">
        <f t="shared" ca="1" si="284"/>
        <v/>
      </c>
      <c r="AA593" s="316" t="str">
        <f t="shared" ca="1" si="285"/>
        <v/>
      </c>
      <c r="AC593" s="310" t="e">
        <f t="shared" ca="1" si="286"/>
        <v>#N/A</v>
      </c>
      <c r="AD593" s="323" t="e">
        <f t="shared" ca="1" si="287"/>
        <v>#N/A</v>
      </c>
      <c r="AE593" s="324">
        <f t="shared" ca="1" si="266"/>
        <v>1199.8737152506517</v>
      </c>
      <c r="AG593" s="306">
        <f t="shared" ca="1" si="288"/>
        <v>47.171990473885714</v>
      </c>
      <c r="AH593" s="304">
        <f t="shared" ca="1" si="289"/>
        <v>56.272670702017926</v>
      </c>
    </row>
    <row r="594" spans="1:34" x14ac:dyDescent="0.2">
      <c r="A594" s="347">
        <f t="shared" ca="1" si="267"/>
        <v>0.01</v>
      </c>
      <c r="B594" s="304">
        <f t="shared" ca="1" si="268"/>
        <v>5.8999999999999186</v>
      </c>
      <c r="D594" s="306">
        <f t="shared" ca="1" si="269"/>
        <v>20.930161700160593</v>
      </c>
      <c r="E594" s="307">
        <f t="shared" ca="1" si="270"/>
        <v>42.185348730529235</v>
      </c>
      <c r="F594" s="304">
        <f t="shared" ca="1" si="271"/>
        <v>47.092200164265357</v>
      </c>
      <c r="G594" s="306">
        <f t="shared" ca="1" si="272"/>
        <v>159.96917671251927</v>
      </c>
      <c r="H594" s="307">
        <f t="shared" ca="1" si="273"/>
        <v>397.30222821816534</v>
      </c>
      <c r="I594" s="304">
        <f t="shared" ca="1" si="274"/>
        <v>428.29802479722031</v>
      </c>
      <c r="J594" s="306">
        <f t="shared" ca="1" si="275"/>
        <v>453.56375377805813</v>
      </c>
      <c r="K594" s="307">
        <f t="shared" ca="1" si="276"/>
        <v>1203.8446282653968</v>
      </c>
      <c r="L594" s="304">
        <f t="shared" ca="1" si="261"/>
        <v>1286.4532512861454</v>
      </c>
      <c r="M594" s="306">
        <f t="shared" ca="1" si="277"/>
        <v>1.1880174446413443</v>
      </c>
      <c r="N594" s="304">
        <f t="shared" ca="1" si="278"/>
        <v>68.068385565865952</v>
      </c>
      <c r="P594" s="310">
        <f t="shared" ca="1" si="279"/>
        <v>16</v>
      </c>
      <c r="Q594" s="304">
        <f t="shared" ca="1" si="280"/>
        <v>2071.9127079934929</v>
      </c>
      <c r="R594" s="306">
        <f t="shared" ca="1" si="281"/>
        <v>1.2459947161761509</v>
      </c>
      <c r="S594" s="307">
        <f t="shared" ca="1" si="282"/>
        <v>16.285304095973917</v>
      </c>
      <c r="T594" s="304">
        <f t="shared" ca="1" si="262"/>
        <v>159.75883318150414</v>
      </c>
      <c r="U594" s="311">
        <f t="shared" ca="1" si="263"/>
        <v>0</v>
      </c>
      <c r="V594" s="306">
        <f t="shared" ca="1" si="264"/>
        <v>1.0859016717978327</v>
      </c>
      <c r="W594" s="304">
        <f t="shared" ca="1" si="265"/>
        <v>1161.2060848017679</v>
      </c>
      <c r="Y594" s="314" t="str">
        <f t="shared" ca="1" si="283"/>
        <v/>
      </c>
      <c r="Z594" s="315" t="str">
        <f t="shared" ca="1" si="284"/>
        <v/>
      </c>
      <c r="AA594" s="316" t="str">
        <f t="shared" ca="1" si="285"/>
        <v/>
      </c>
      <c r="AC594" s="310" t="e">
        <f t="shared" ca="1" si="286"/>
        <v>#N/A</v>
      </c>
      <c r="AD594" s="323" t="e">
        <f t="shared" ca="1" si="287"/>
        <v>#N/A</v>
      </c>
      <c r="AE594" s="324">
        <f t="shared" ca="1" si="266"/>
        <v>1203.8446282653968</v>
      </c>
      <c r="AG594" s="306">
        <f t="shared" ca="1" si="288"/>
        <v>46.949503615478861</v>
      </c>
      <c r="AH594" s="304">
        <f t="shared" ca="1" si="289"/>
        <v>56.049870279994565</v>
      </c>
    </row>
    <row r="595" spans="1:34" x14ac:dyDescent="0.2">
      <c r="A595" s="347">
        <f t="shared" ca="1" si="267"/>
        <v>0.01</v>
      </c>
      <c r="B595" s="304">
        <f t="shared" ca="1" si="268"/>
        <v>5.9099999999999184</v>
      </c>
      <c r="D595" s="306">
        <f t="shared" ca="1" si="269"/>
        <v>20.851514538308351</v>
      </c>
      <c r="E595" s="307">
        <f t="shared" ca="1" si="270"/>
        <v>41.977183994084029</v>
      </c>
      <c r="F595" s="304">
        <f t="shared" ca="1" si="271"/>
        <v>46.870775912229881</v>
      </c>
      <c r="G595" s="306">
        <f t="shared" ca="1" si="272"/>
        <v>160.17769185790235</v>
      </c>
      <c r="H595" s="307">
        <f t="shared" ca="1" si="273"/>
        <v>397.72200005810618</v>
      </c>
      <c r="I595" s="304">
        <f t="shared" ca="1" si="274"/>
        <v>428.76529978432876</v>
      </c>
      <c r="J595" s="306">
        <f t="shared" ca="1" si="275"/>
        <v>455.16448812091022</v>
      </c>
      <c r="K595" s="307">
        <f t="shared" ca="1" si="276"/>
        <v>1207.8197494067781</v>
      </c>
      <c r="L595" s="304">
        <f t="shared" ca="1" si="261"/>
        <v>1290.7374862083391</v>
      </c>
      <c r="M595" s="306">
        <f t="shared" ca="1" si="277"/>
        <v>1.187931989220824</v>
      </c>
      <c r="N595" s="304">
        <f t="shared" ca="1" si="278"/>
        <v>68.063489330933621</v>
      </c>
      <c r="P595" s="310">
        <f t="shared" ca="1" si="279"/>
        <v>16</v>
      </c>
      <c r="Q595" s="304">
        <f t="shared" ca="1" si="280"/>
        <v>2069.6773409461848</v>
      </c>
      <c r="R595" s="306">
        <f t="shared" ca="1" si="281"/>
        <v>1.2446504242477725</v>
      </c>
      <c r="S595" s="307">
        <f t="shared" ca="1" si="282"/>
        <v>16.272857591731441</v>
      </c>
      <c r="T595" s="304">
        <f t="shared" ca="1" si="262"/>
        <v>159.63673297488543</v>
      </c>
      <c r="U595" s="311">
        <f t="shared" ca="1" si="263"/>
        <v>0</v>
      </c>
      <c r="V595" s="306">
        <f t="shared" ca="1" si="264"/>
        <v>1.0854685242984781</v>
      </c>
      <c r="W595" s="304">
        <f t="shared" ca="1" si="265"/>
        <v>1163.2770322799013</v>
      </c>
      <c r="Y595" s="314" t="str">
        <f t="shared" ca="1" si="283"/>
        <v/>
      </c>
      <c r="Z595" s="315" t="str">
        <f t="shared" ca="1" si="284"/>
        <v/>
      </c>
      <c r="AA595" s="316" t="str">
        <f t="shared" ca="1" si="285"/>
        <v/>
      </c>
      <c r="AC595" s="310" t="e">
        <f t="shared" ca="1" si="286"/>
        <v>#N/A</v>
      </c>
      <c r="AD595" s="323" t="e">
        <f t="shared" ca="1" si="287"/>
        <v>#N/A</v>
      </c>
      <c r="AE595" s="324">
        <f t="shared" ca="1" si="266"/>
        <v>1207.8197494067781</v>
      </c>
      <c r="AG595" s="306">
        <f t="shared" ca="1" si="288"/>
        <v>46.727342155152733</v>
      </c>
      <c r="AH595" s="304">
        <f t="shared" ca="1" si="289"/>
        <v>55.827395466548481</v>
      </c>
    </row>
    <row r="596" spans="1:34" x14ac:dyDescent="0.2">
      <c r="A596" s="347">
        <f t="shared" ca="1" si="267"/>
        <v>0.01</v>
      </c>
      <c r="B596" s="304">
        <f t="shared" ca="1" si="268"/>
        <v>5.9199999999999182</v>
      </c>
      <c r="D596" s="306">
        <f t="shared" ca="1" si="269"/>
        <v>20.772950409137707</v>
      </c>
      <c r="E596" s="307">
        <f t="shared" ca="1" si="270"/>
        <v>41.769338470923934</v>
      </c>
      <c r="F596" s="304">
        <f t="shared" ca="1" si="271"/>
        <v>46.649684939976822</v>
      </c>
      <c r="G596" s="306">
        <f t="shared" ca="1" si="272"/>
        <v>160.38542136199374</v>
      </c>
      <c r="H596" s="307">
        <f t="shared" ca="1" si="273"/>
        <v>398.13969344281543</v>
      </c>
      <c r="I596" s="304">
        <f t="shared" ca="1" si="274"/>
        <v>429.23035642904301</v>
      </c>
      <c r="J596" s="306">
        <f t="shared" ca="1" si="275"/>
        <v>456.7673036870097</v>
      </c>
      <c r="K596" s="307">
        <f t="shared" ca="1" si="276"/>
        <v>1211.7990578742827</v>
      </c>
      <c r="L596" s="304">
        <f t="shared" ca="1" si="261"/>
        <v>1295.0263805739635</v>
      </c>
      <c r="M596" s="306">
        <f t="shared" ca="1" si="277"/>
        <v>1.1878466082714023</v>
      </c>
      <c r="N596" s="304">
        <f t="shared" ca="1" si="278"/>
        <v>68.058597362880931</v>
      </c>
      <c r="P596" s="310">
        <f t="shared" ca="1" si="279"/>
        <v>16</v>
      </c>
      <c r="Q596" s="304">
        <f t="shared" ca="1" si="280"/>
        <v>2067.4419738988763</v>
      </c>
      <c r="R596" s="306">
        <f t="shared" ca="1" si="281"/>
        <v>1.2433061323193939</v>
      </c>
      <c r="S596" s="307">
        <f t="shared" ca="1" si="282"/>
        <v>16.260424530408248</v>
      </c>
      <c r="T596" s="304">
        <f t="shared" ca="1" si="262"/>
        <v>159.51476464330491</v>
      </c>
      <c r="U596" s="311">
        <f t="shared" ca="1" si="263"/>
        <v>0</v>
      </c>
      <c r="V596" s="306">
        <f t="shared" ca="1" si="264"/>
        <v>1.0850350831303077</v>
      </c>
      <c r="W596" s="304">
        <f t="shared" ca="1" si="265"/>
        <v>1165.3363586595037</v>
      </c>
      <c r="Y596" s="314" t="str">
        <f t="shared" ca="1" si="283"/>
        <v/>
      </c>
      <c r="Z596" s="315" t="str">
        <f t="shared" ca="1" si="284"/>
        <v/>
      </c>
      <c r="AA596" s="316" t="str">
        <f t="shared" ca="1" si="285"/>
        <v/>
      </c>
      <c r="AC596" s="310" t="e">
        <f t="shared" ca="1" si="286"/>
        <v>#N/A</v>
      </c>
      <c r="AD596" s="323" t="e">
        <f t="shared" ca="1" si="287"/>
        <v>#N/A</v>
      </c>
      <c r="AE596" s="324">
        <f t="shared" ca="1" si="266"/>
        <v>1211.7990578742827</v>
      </c>
      <c r="AG596" s="306">
        <f t="shared" ca="1" si="288"/>
        <v>46.505508018965415</v>
      </c>
      <c r="AH596" s="304">
        <f t="shared" ca="1" si="289"/>
        <v>55.605248185747975</v>
      </c>
    </row>
    <row r="597" spans="1:34" x14ac:dyDescent="0.2">
      <c r="A597" s="347">
        <f t="shared" ca="1" si="267"/>
        <v>0.01</v>
      </c>
      <c r="B597" s="304">
        <f t="shared" ca="1" si="268"/>
        <v>5.929999999999918</v>
      </c>
      <c r="D597" s="306">
        <f t="shared" ca="1" si="269"/>
        <v>20.694470179825085</v>
      </c>
      <c r="E597" s="307">
        <f t="shared" ca="1" si="270"/>
        <v>41.561813868049583</v>
      </c>
      <c r="F597" s="304">
        <f t="shared" ca="1" si="271"/>
        <v>46.428929214726331</v>
      </c>
      <c r="G597" s="306">
        <f t="shared" ca="1" si="272"/>
        <v>160.59236606379199</v>
      </c>
      <c r="H597" s="307">
        <f t="shared" ca="1" si="273"/>
        <v>398.55531158149591</v>
      </c>
      <c r="I597" s="304">
        <f t="shared" ca="1" si="274"/>
        <v>429.69319802364834</v>
      </c>
      <c r="J597" s="306">
        <f t="shared" ca="1" si="275"/>
        <v>458.37219262413862</v>
      </c>
      <c r="K597" s="307">
        <f t="shared" ca="1" si="276"/>
        <v>1215.7825328994043</v>
      </c>
      <c r="L597" s="304">
        <f t="shared" ca="1" si="261"/>
        <v>1299.3199122134438</v>
      </c>
      <c r="M597" s="306">
        <f t="shared" ca="1" si="277"/>
        <v>1.1877613012085211</v>
      </c>
      <c r="N597" s="304">
        <f t="shared" ca="1" si="278"/>
        <v>68.053709628215188</v>
      </c>
      <c r="P597" s="310">
        <f t="shared" ca="1" si="279"/>
        <v>16</v>
      </c>
      <c r="Q597" s="304">
        <f t="shared" ca="1" si="280"/>
        <v>2065.2066068515683</v>
      </c>
      <c r="R597" s="306">
        <f t="shared" ca="1" si="281"/>
        <v>1.2419618403910155</v>
      </c>
      <c r="S597" s="307">
        <f t="shared" ca="1" si="282"/>
        <v>16.248004912004337</v>
      </c>
      <c r="T597" s="304">
        <f t="shared" ca="1" si="262"/>
        <v>159.39292818676256</v>
      </c>
      <c r="U597" s="311">
        <f t="shared" ca="1" si="263"/>
        <v>0</v>
      </c>
      <c r="V597" s="306">
        <f t="shared" ca="1" si="264"/>
        <v>1.0846013509761185</v>
      </c>
      <c r="W597" s="304">
        <f t="shared" ca="1" si="265"/>
        <v>1167.3840546563856</v>
      </c>
      <c r="Y597" s="314" t="str">
        <f t="shared" ca="1" si="283"/>
        <v/>
      </c>
      <c r="Z597" s="315" t="str">
        <f t="shared" ca="1" si="284"/>
        <v/>
      </c>
      <c r="AA597" s="316" t="str">
        <f t="shared" ca="1" si="285"/>
        <v/>
      </c>
      <c r="AC597" s="310" t="e">
        <f t="shared" ca="1" si="286"/>
        <v>#N/A</v>
      </c>
      <c r="AD597" s="323" t="e">
        <f t="shared" ca="1" si="287"/>
        <v>#N/A</v>
      </c>
      <c r="AE597" s="324">
        <f t="shared" ca="1" si="266"/>
        <v>1215.7825328994043</v>
      </c>
      <c r="AG597" s="306">
        <f t="shared" ca="1" si="288"/>
        <v>46.284003110323461</v>
      </c>
      <c r="AH597" s="304">
        <f t="shared" ca="1" si="289"/>
        <v>55.383430339021082</v>
      </c>
    </row>
    <row r="598" spans="1:34" x14ac:dyDescent="0.2">
      <c r="A598" s="347">
        <f t="shared" ca="1" si="267"/>
        <v>0.01</v>
      </c>
      <c r="B598" s="304">
        <f t="shared" ca="1" si="268"/>
        <v>5.9399999999999178</v>
      </c>
      <c r="D598" s="306">
        <f t="shared" ca="1" si="269"/>
        <v>20.616074708888977</v>
      </c>
      <c r="E598" s="307">
        <f t="shared" ca="1" si="270"/>
        <v>41.354611871555278</v>
      </c>
      <c r="F598" s="304">
        <f t="shared" ca="1" si="271"/>
        <v>46.208510682010434</v>
      </c>
      <c r="G598" s="306">
        <f t="shared" ca="1" si="272"/>
        <v>160.79852681088087</v>
      </c>
      <c r="H598" s="307">
        <f t="shared" ca="1" si="273"/>
        <v>398.96885770021146</v>
      </c>
      <c r="I598" s="304">
        <f t="shared" ca="1" si="274"/>
        <v>430.15382787923807</v>
      </c>
      <c r="J598" s="306">
        <f t="shared" ca="1" si="275"/>
        <v>459.97914708851198</v>
      </c>
      <c r="K598" s="307">
        <f t="shared" ca="1" si="276"/>
        <v>1219.7701537458129</v>
      </c>
      <c r="L598" s="304">
        <f t="shared" ca="1" si="261"/>
        <v>1303.6180589901933</v>
      </c>
      <c r="M598" s="306">
        <f t="shared" ca="1" si="277"/>
        <v>1.1876760674511817</v>
      </c>
      <c r="N598" s="304">
        <f t="shared" ca="1" si="278"/>
        <v>68.048826093647591</v>
      </c>
      <c r="P598" s="310">
        <f t="shared" ca="1" si="279"/>
        <v>16</v>
      </c>
      <c r="Q598" s="304">
        <f t="shared" ca="1" si="280"/>
        <v>2062.9712398042598</v>
      </c>
      <c r="R598" s="306">
        <f t="shared" ca="1" si="281"/>
        <v>1.2406175484626369</v>
      </c>
      <c r="S598" s="307">
        <f t="shared" ca="1" si="282"/>
        <v>16.235598736519709</v>
      </c>
      <c r="T598" s="304">
        <f t="shared" ca="1" si="262"/>
        <v>159.27122360525834</v>
      </c>
      <c r="U598" s="311">
        <f t="shared" ca="1" si="263"/>
        <v>0</v>
      </c>
      <c r="V598" s="306">
        <f t="shared" ca="1" si="264"/>
        <v>1.0841673305118384</v>
      </c>
      <c r="W598" s="304">
        <f t="shared" ca="1" si="265"/>
        <v>1169.4201114183584</v>
      </c>
      <c r="Y598" s="314" t="str">
        <f t="shared" ca="1" si="283"/>
        <v/>
      </c>
      <c r="Z598" s="315" t="str">
        <f t="shared" ca="1" si="284"/>
        <v/>
      </c>
      <c r="AA598" s="316" t="str">
        <f t="shared" ca="1" si="285"/>
        <v/>
      </c>
      <c r="AC598" s="310" t="e">
        <f t="shared" ca="1" si="286"/>
        <v>#N/A</v>
      </c>
      <c r="AD598" s="323" t="e">
        <f t="shared" ca="1" si="287"/>
        <v>#N/A</v>
      </c>
      <c r="AE598" s="324">
        <f t="shared" ca="1" si="266"/>
        <v>1219.7701537458129</v>
      </c>
      <c r="AG598" s="306">
        <f t="shared" ca="1" si="288"/>
        <v>46.062829310038595</v>
      </c>
      <c r="AH598" s="304">
        <f t="shared" ca="1" si="289"/>
        <v>55.161943805212189</v>
      </c>
    </row>
    <row r="599" spans="1:34" x14ac:dyDescent="0.2">
      <c r="A599" s="347">
        <f t="shared" ca="1" si="267"/>
        <v>0.01</v>
      </c>
      <c r="B599" s="304">
        <f t="shared" ca="1" si="268"/>
        <v>5.9499999999999176</v>
      </c>
      <c r="D599" s="306">
        <f t="shared" ca="1" si="269"/>
        <v>20.537764846208592</v>
      </c>
      <c r="E599" s="307">
        <f t="shared" ca="1" si="270"/>
        <v>41.147734146684577</v>
      </c>
      <c r="F599" s="304">
        <f t="shared" ca="1" si="271"/>
        <v>45.988431265747622</v>
      </c>
      <c r="G599" s="306">
        <f t="shared" ca="1" si="272"/>
        <v>161.00390445934295</v>
      </c>
      <c r="H599" s="307">
        <f t="shared" ca="1" si="273"/>
        <v>399.38033504167828</v>
      </c>
      <c r="I599" s="304">
        <f t="shared" ca="1" si="274"/>
        <v>430.61224932548822</v>
      </c>
      <c r="J599" s="306">
        <f t="shared" ca="1" si="275"/>
        <v>461.58815924486311</v>
      </c>
      <c r="K599" s="307">
        <f t="shared" ca="1" si="276"/>
        <v>1223.7618997095224</v>
      </c>
      <c r="L599" s="304">
        <f t="shared" ca="1" si="261"/>
        <v>1307.920798800799</v>
      </c>
      <c r="M599" s="306">
        <f t="shared" ca="1" si="277"/>
        <v>1.1875909064219137</v>
      </c>
      <c r="N599" s="304">
        <f t="shared" ca="1" si="278"/>
        <v>68.043946726091548</v>
      </c>
      <c r="P599" s="310">
        <f t="shared" ca="1" si="279"/>
        <v>16</v>
      </c>
      <c r="Q599" s="304">
        <f t="shared" ca="1" si="280"/>
        <v>2060.7358727569517</v>
      </c>
      <c r="R599" s="306">
        <f t="shared" ca="1" si="281"/>
        <v>1.2392732565342588</v>
      </c>
      <c r="S599" s="307">
        <f t="shared" ca="1" si="282"/>
        <v>16.223206003954367</v>
      </c>
      <c r="T599" s="304">
        <f t="shared" ca="1" si="262"/>
        <v>159.14965089879234</v>
      </c>
      <c r="U599" s="311">
        <f t="shared" ca="1" si="263"/>
        <v>0</v>
      </c>
      <c r="V599" s="306">
        <f t="shared" ca="1" si="264"/>
        <v>1.0837330244065089</v>
      </c>
      <c r="W599" s="304">
        <f t="shared" ca="1" si="265"/>
        <v>1171.4445205226298</v>
      </c>
      <c r="Y599" s="314" t="str">
        <f t="shared" ca="1" si="283"/>
        <v/>
      </c>
      <c r="Z599" s="315" t="str">
        <f t="shared" ca="1" si="284"/>
        <v/>
      </c>
      <c r="AA599" s="316" t="str">
        <f t="shared" ca="1" si="285"/>
        <v/>
      </c>
      <c r="AC599" s="310" t="e">
        <f t="shared" ca="1" si="286"/>
        <v>#N/A</v>
      </c>
      <c r="AD599" s="323" t="e">
        <f t="shared" ca="1" si="287"/>
        <v>#N/A</v>
      </c>
      <c r="AE599" s="324">
        <f t="shared" ca="1" si="266"/>
        <v>1223.7618997095224</v>
      </c>
      <c r="AG599" s="306">
        <f t="shared" ca="1" si="288"/>
        <v>45.841988476386035</v>
      </c>
      <c r="AH599" s="304">
        <f t="shared" ca="1" si="289"/>
        <v>54.940790440640235</v>
      </c>
    </row>
    <row r="600" spans="1:34" x14ac:dyDescent="0.2">
      <c r="A600" s="347">
        <f t="shared" ca="1" si="267"/>
        <v>0.01</v>
      </c>
      <c r="B600" s="304">
        <f t="shared" ca="1" si="268"/>
        <v>5.9599999999999174</v>
      </c>
      <c r="D600" s="306">
        <f t="shared" ca="1" si="269"/>
        <v>20.459541433042862</v>
      </c>
      <c r="E600" s="307">
        <f t="shared" ca="1" si="270"/>
        <v>40.941182337886417</v>
      </c>
      <c r="F600" s="304">
        <f t="shared" ca="1" si="271"/>
        <v>45.768692868318411</v>
      </c>
      <c r="G600" s="306">
        <f t="shared" ca="1" si="272"/>
        <v>161.20849987367339</v>
      </c>
      <c r="H600" s="307">
        <f t="shared" ca="1" si="273"/>
        <v>399.78974686505717</v>
      </c>
      <c r="I600" s="304">
        <f t="shared" ca="1" si="274"/>
        <v>431.06846571043286</v>
      </c>
      <c r="J600" s="306">
        <f t="shared" ca="1" si="275"/>
        <v>463.19922126652818</v>
      </c>
      <c r="K600" s="307">
        <f t="shared" ca="1" si="276"/>
        <v>1227.757750119056</v>
      </c>
      <c r="L600" s="304">
        <f t="shared" ca="1" si="261"/>
        <v>1312.2281095752082</v>
      </c>
      <c r="M600" s="306">
        <f t="shared" ca="1" si="277"/>
        <v>1.1875058175467441</v>
      </c>
      <c r="N600" s="304">
        <f t="shared" ca="1" si="278"/>
        <v>68.03907149266081</v>
      </c>
      <c r="P600" s="310">
        <f t="shared" ca="1" si="279"/>
        <v>16</v>
      </c>
      <c r="Q600" s="304">
        <f t="shared" ca="1" si="280"/>
        <v>2058.5005057096432</v>
      </c>
      <c r="R600" s="306">
        <f t="shared" ca="1" si="281"/>
        <v>1.2379289646058802</v>
      </c>
      <c r="S600" s="307">
        <f t="shared" ca="1" si="282"/>
        <v>16.210826714308308</v>
      </c>
      <c r="T600" s="304">
        <f t="shared" ca="1" si="262"/>
        <v>159.02821006736451</v>
      </c>
      <c r="U600" s="311">
        <f t="shared" ca="1" si="263"/>
        <v>0</v>
      </c>
      <c r="V600" s="306">
        <f t="shared" ca="1" si="264"/>
        <v>1.0832984353222697</v>
      </c>
      <c r="W600" s="304">
        <f t="shared" ca="1" si="265"/>
        <v>1173.4572739731909</v>
      </c>
      <c r="Y600" s="314" t="str">
        <f t="shared" ca="1" si="283"/>
        <v/>
      </c>
      <c r="Z600" s="315" t="str">
        <f t="shared" ca="1" si="284"/>
        <v/>
      </c>
      <c r="AA600" s="316" t="str">
        <f t="shared" ca="1" si="285"/>
        <v/>
      </c>
      <c r="AC600" s="310" t="e">
        <f t="shared" ca="1" si="286"/>
        <v>#N/A</v>
      </c>
      <c r="AD600" s="323" t="e">
        <f t="shared" ca="1" si="287"/>
        <v>#N/A</v>
      </c>
      <c r="AE600" s="324">
        <f t="shared" ca="1" si="266"/>
        <v>1227.757750119056</v>
      </c>
      <c r="AG600" s="306">
        <f t="shared" ca="1" si="288"/>
        <v>45.62148244516348</v>
      </c>
      <c r="AH600" s="304">
        <f t="shared" ca="1" si="289"/>
        <v>54.719972079157642</v>
      </c>
    </row>
    <row r="601" spans="1:34" x14ac:dyDescent="0.2">
      <c r="A601" s="347">
        <f t="shared" ca="1" si="267"/>
        <v>0.01</v>
      </c>
      <c r="B601" s="304">
        <f t="shared" ca="1" si="268"/>
        <v>5.9699999999999172</v>
      </c>
      <c r="D601" s="306">
        <f t="shared" ca="1" si="269"/>
        <v>20.381405302049927</v>
      </c>
      <c r="E601" s="307">
        <f t="shared" ca="1" si="270"/>
        <v>40.734958068872594</v>
      </c>
      <c r="F601" s="304">
        <f t="shared" ca="1" si="271"/>
        <v>45.549297370642691</v>
      </c>
      <c r="G601" s="306">
        <f t="shared" ca="1" si="272"/>
        <v>161.41231392669388</v>
      </c>
      <c r="H601" s="307">
        <f t="shared" ca="1" si="273"/>
        <v>400.1970964457459</v>
      </c>
      <c r="I601" s="304">
        <f t="shared" ca="1" si="274"/>
        <v>431.52248040023966</v>
      </c>
      <c r="J601" s="306">
        <f t="shared" ca="1" si="275"/>
        <v>464.81232533553003</v>
      </c>
      <c r="K601" s="307">
        <f t="shared" ca="1" si="276"/>
        <v>1231.7576843356101</v>
      </c>
      <c r="L601" s="304">
        <f t="shared" ca="1" si="261"/>
        <v>1316.5399692769099</v>
      </c>
      <c r="M601" s="306">
        <f t="shared" ca="1" si="277"/>
        <v>1.1874208002551676</v>
      </c>
      <c r="N601" s="304">
        <f t="shared" ca="1" si="278"/>
        <v>68.034200360667853</v>
      </c>
      <c r="P601" s="310">
        <f t="shared" ca="1" si="279"/>
        <v>16</v>
      </c>
      <c r="Q601" s="304">
        <f t="shared" ca="1" si="280"/>
        <v>2056.2651386623352</v>
      </c>
      <c r="R601" s="306">
        <f t="shared" ca="1" si="281"/>
        <v>1.2365846726775018</v>
      </c>
      <c r="S601" s="307">
        <f t="shared" ca="1" si="282"/>
        <v>16.198460867581531</v>
      </c>
      <c r="T601" s="304">
        <f t="shared" ca="1" si="262"/>
        <v>158.90690111097481</v>
      </c>
      <c r="U601" s="311">
        <f t="shared" ca="1" si="263"/>
        <v>0</v>
      </c>
      <c r="V601" s="306">
        <f t="shared" ca="1" si="264"/>
        <v>1.0828635659143413</v>
      </c>
      <c r="W601" s="304">
        <f t="shared" ca="1" si="265"/>
        <v>1175.4583641981935</v>
      </c>
      <c r="Y601" s="314" t="str">
        <f t="shared" ca="1" si="283"/>
        <v/>
      </c>
      <c r="Z601" s="315" t="str">
        <f t="shared" ca="1" si="284"/>
        <v/>
      </c>
      <c r="AA601" s="316" t="str">
        <f t="shared" ca="1" si="285"/>
        <v/>
      </c>
      <c r="AC601" s="310" t="e">
        <f t="shared" ca="1" si="286"/>
        <v>#N/A</v>
      </c>
      <c r="AD601" s="323" t="e">
        <f t="shared" ca="1" si="287"/>
        <v>#N/A</v>
      </c>
      <c r="AE601" s="324">
        <f t="shared" ca="1" si="266"/>
        <v>1231.7576843356101</v>
      </c>
      <c r="AG601" s="306">
        <f t="shared" ca="1" si="288"/>
        <v>45.40131302975157</v>
      </c>
      <c r="AH601" s="304">
        <f t="shared" ca="1" si="289"/>
        <v>54.499490532210643</v>
      </c>
    </row>
    <row r="602" spans="1:34" x14ac:dyDescent="0.2">
      <c r="A602" s="347">
        <f t="shared" ca="1" si="267"/>
        <v>0.01</v>
      </c>
      <c r="B602" s="304">
        <f t="shared" ca="1" si="268"/>
        <v>5.9799999999999169</v>
      </c>
      <c r="D602" s="306">
        <f t="shared" ca="1" si="269"/>
        <v>20.30335727730688</v>
      </c>
      <c r="E602" s="307">
        <f t="shared" ca="1" si="270"/>
        <v>40.529062942675964</v>
      </c>
      <c r="F602" s="304">
        <f t="shared" ca="1" si="271"/>
        <v>45.330246632258252</v>
      </c>
      <c r="G602" s="306">
        <f t="shared" ca="1" si="272"/>
        <v>161.61534749946696</v>
      </c>
      <c r="H602" s="307">
        <f t="shared" ca="1" si="273"/>
        <v>400.60238707517266</v>
      </c>
      <c r="I602" s="304">
        <f t="shared" ca="1" si="274"/>
        <v>431.97429677898651</v>
      </c>
      <c r="J602" s="306">
        <f t="shared" ca="1" si="275"/>
        <v>466.42746364266083</v>
      </c>
      <c r="K602" s="307">
        <f t="shared" ca="1" si="276"/>
        <v>1235.7616817532146</v>
      </c>
      <c r="L602" s="304">
        <f t="shared" ca="1" si="261"/>
        <v>1320.8563559031159</v>
      </c>
      <c r="M602" s="306">
        <f t="shared" ca="1" si="277"/>
        <v>1.187335853980116</v>
      </c>
      <c r="N602" s="304">
        <f t="shared" ca="1" si="278"/>
        <v>68.029333297622031</v>
      </c>
      <c r="P602" s="310">
        <f t="shared" ca="1" si="279"/>
        <v>16</v>
      </c>
      <c r="Q602" s="304">
        <f t="shared" ca="1" si="280"/>
        <v>2054.0297716150267</v>
      </c>
      <c r="R602" s="306">
        <f t="shared" ca="1" si="281"/>
        <v>1.2352403807491232</v>
      </c>
      <c r="S602" s="307">
        <f t="shared" ca="1" si="282"/>
        <v>16.18610846377404</v>
      </c>
      <c r="T602" s="304">
        <f t="shared" ca="1" si="262"/>
        <v>158.78572402962334</v>
      </c>
      <c r="U602" s="311">
        <f t="shared" ca="1" si="263"/>
        <v>0</v>
      </c>
      <c r="V602" s="306">
        <f t="shared" ca="1" si="264"/>
        <v>1.0824284188310116</v>
      </c>
      <c r="W602" s="304">
        <f t="shared" ca="1" si="265"/>
        <v>1177.4477840473205</v>
      </c>
      <c r="Y602" s="314" t="str">
        <f t="shared" ca="1" si="283"/>
        <v/>
      </c>
      <c r="Z602" s="315" t="str">
        <f t="shared" ca="1" si="284"/>
        <v/>
      </c>
      <c r="AA602" s="316" t="str">
        <f t="shared" ca="1" si="285"/>
        <v/>
      </c>
      <c r="AC602" s="310" t="e">
        <f t="shared" ca="1" si="286"/>
        <v>#N/A</v>
      </c>
      <c r="AD602" s="323" t="e">
        <f t="shared" ca="1" si="287"/>
        <v>#N/A</v>
      </c>
      <c r="AE602" s="324">
        <f t="shared" ca="1" si="266"/>
        <v>1235.7616817532146</v>
      </c>
      <c r="AG602" s="306">
        <f t="shared" ca="1" si="288"/>
        <v>45.181482021175029</v>
      </c>
      <c r="AH602" s="304">
        <f t="shared" ca="1" si="289"/>
        <v>54.279347588900357</v>
      </c>
    </row>
    <row r="603" spans="1:34" x14ac:dyDescent="0.2">
      <c r="A603" s="347">
        <f t="shared" ca="1" si="267"/>
        <v>0.01</v>
      </c>
      <c r="B603" s="304">
        <f t="shared" ca="1" si="268"/>
        <v>5.9899999999999167</v>
      </c>
      <c r="D603" s="306">
        <f t="shared" ca="1" si="269"/>
        <v>20.225398174330117</v>
      </c>
      <c r="E603" s="307">
        <f t="shared" ca="1" si="270"/>
        <v>40.323498541709988</v>
      </c>
      <c r="F603" s="304">
        <f t="shared" ca="1" si="271"/>
        <v>45.11154249140106</v>
      </c>
      <c r="G603" s="306">
        <f t="shared" ca="1" si="272"/>
        <v>161.81760148121026</v>
      </c>
      <c r="H603" s="307">
        <f t="shared" ca="1" si="273"/>
        <v>401.00562206058976</v>
      </c>
      <c r="I603" s="304">
        <f t="shared" ca="1" si="274"/>
        <v>432.42391824843861</v>
      </c>
      <c r="J603" s="306">
        <f t="shared" ca="1" si="275"/>
        <v>468.04462838756422</v>
      </c>
      <c r="K603" s="307">
        <f t="shared" ca="1" si="276"/>
        <v>1239.7697217988934</v>
      </c>
      <c r="L603" s="304">
        <f t="shared" ca="1" si="261"/>
        <v>1325.1772474849388</v>
      </c>
      <c r="M603" s="306">
        <f t="shared" ca="1" si="277"/>
        <v>1.1872509781579286</v>
      </c>
      <c r="N603" s="304">
        <f t="shared" ca="1" si="278"/>
        <v>68.024470271227997</v>
      </c>
      <c r="P603" s="310">
        <f t="shared" ca="1" si="279"/>
        <v>16</v>
      </c>
      <c r="Q603" s="304">
        <f t="shared" ca="1" si="280"/>
        <v>2051.7944045677186</v>
      </c>
      <c r="R603" s="306">
        <f t="shared" ca="1" si="281"/>
        <v>1.2338960888207449</v>
      </c>
      <c r="S603" s="307">
        <f t="shared" ca="1" si="282"/>
        <v>16.173769502885833</v>
      </c>
      <c r="T603" s="304">
        <f t="shared" ca="1" si="262"/>
        <v>158.66467882331003</v>
      </c>
      <c r="U603" s="311">
        <f t="shared" ca="1" si="263"/>
        <v>0</v>
      </c>
      <c r="V603" s="306">
        <f t="shared" ca="1" si="264"/>
        <v>1.0819929967136181</v>
      </c>
      <c r="W603" s="304">
        <f t="shared" ca="1" si="265"/>
        <v>1179.4255267891472</v>
      </c>
      <c r="Y603" s="314" t="str">
        <f t="shared" ca="1" si="283"/>
        <v/>
      </c>
      <c r="Z603" s="315" t="str">
        <f t="shared" ca="1" si="284"/>
        <v/>
      </c>
      <c r="AA603" s="316" t="str">
        <f t="shared" ca="1" si="285"/>
        <v/>
      </c>
      <c r="AC603" s="310" t="e">
        <f t="shared" ca="1" si="286"/>
        <v>#N/A</v>
      </c>
      <c r="AD603" s="323" t="e">
        <f t="shared" ca="1" si="287"/>
        <v>#N/A</v>
      </c>
      <c r="AE603" s="324">
        <f t="shared" ca="1" si="266"/>
        <v>1239.7697217988934</v>
      </c>
      <c r="AG603" s="306">
        <f t="shared" ca="1" si="288"/>
        <v>44.961991188165342</v>
      </c>
      <c r="AH603" s="304">
        <f t="shared" ca="1" si="289"/>
        <v>54.059545016045355</v>
      </c>
    </row>
    <row r="604" spans="1:34" x14ac:dyDescent="0.2">
      <c r="A604" s="347">
        <f t="shared" ca="1" si="267"/>
        <v>0.01</v>
      </c>
      <c r="B604" s="304">
        <f t="shared" ca="1" si="268"/>
        <v>5.9999999999999165</v>
      </c>
      <c r="D604" s="306">
        <f t="shared" ca="1" si="269"/>
        <v>20.14752880009587</v>
      </c>
      <c r="E604" s="307">
        <f t="shared" ca="1" si="270"/>
        <v>40.1182664278288</v>
      </c>
      <c r="F604" s="304">
        <f t="shared" ca="1" si="271"/>
        <v>44.893186765086618</v>
      </c>
      <c r="G604" s="306">
        <f t="shared" ca="1" si="272"/>
        <v>162.01907676921121</v>
      </c>
      <c r="H604" s="307">
        <f t="shared" ca="1" si="273"/>
        <v>401.40680472486804</v>
      </c>
      <c r="I604" s="304">
        <f t="shared" ca="1" si="274"/>
        <v>432.8713482278261</v>
      </c>
      <c r="J604" s="306">
        <f t="shared" ca="1" si="275"/>
        <v>469.6638117788163</v>
      </c>
      <c r="K604" s="307">
        <f t="shared" ca="1" si="276"/>
        <v>1243.7817839328206</v>
      </c>
      <c r="L604" s="304">
        <f t="shared" ca="1" si="261"/>
        <v>1329.5026220875675</v>
      </c>
      <c r="M604" s="306">
        <f t="shared" ca="1" si="277"/>
        <v>1.1871661722283229</v>
      </c>
      <c r="N604" s="304">
        <f t="shared" ca="1" si="278"/>
        <v>68.0196112493839</v>
      </c>
      <c r="P604" s="310">
        <f t="shared" ca="1" si="279"/>
        <v>16</v>
      </c>
      <c r="Q604" s="304">
        <f t="shared" ca="1" si="280"/>
        <v>2049.5590375204101</v>
      </c>
      <c r="R604" s="306">
        <f t="shared" ca="1" si="281"/>
        <v>1.2325517968923663</v>
      </c>
      <c r="S604" s="307">
        <f t="shared" ca="1" si="282"/>
        <v>16.161443984916907</v>
      </c>
      <c r="T604" s="304">
        <f t="shared" ca="1" si="262"/>
        <v>158.54376549203488</v>
      </c>
      <c r="U604" s="311">
        <f t="shared" ca="1" si="263"/>
        <v>0</v>
      </c>
      <c r="V604" s="306">
        <f t="shared" ca="1" si="264"/>
        <v>1.0815573021965361</v>
      </c>
      <c r="W604" s="304">
        <f t="shared" ca="1" si="265"/>
        <v>1181.3915861084993</v>
      </c>
      <c r="Y604" s="314" t="str">
        <f t="shared" ca="1" si="283"/>
        <v/>
      </c>
      <c r="Z604" s="315" t="str">
        <f t="shared" ca="1" si="284"/>
        <v/>
      </c>
      <c r="AA604" s="316" t="str">
        <f t="shared" ca="1" si="285"/>
        <v/>
      </c>
      <c r="AC604" s="310">
        <f t="shared" ca="1" si="286"/>
        <v>5.9999999999999165</v>
      </c>
      <c r="AD604" s="323">
        <f t="shared" ca="1" si="287"/>
        <v>469.6638117788163</v>
      </c>
      <c r="AE604" s="324">
        <f t="shared" ca="1" si="266"/>
        <v>1243.7817839328206</v>
      </c>
      <c r="AG604" s="306">
        <f t="shared" ca="1" si="288"/>
        <v>44.742842277223971</v>
      </c>
      <c r="AH604" s="304">
        <f t="shared" ca="1" si="289"/>
        <v>53.84008455824479</v>
      </c>
    </row>
    <row r="605" spans="1:34" x14ac:dyDescent="0.2">
      <c r="A605" s="347">
        <f t="shared" ca="1" si="267"/>
        <v>0.01</v>
      </c>
      <c r="B605" s="304">
        <f t="shared" ca="1" si="268"/>
        <v>6.0099999999999163</v>
      </c>
      <c r="D605" s="306">
        <f t="shared" ca="1" si="269"/>
        <v>20.069749953061258</v>
      </c>
      <c r="E605" s="307">
        <f t="shared" ca="1" si="270"/>
        <v>39.913368142388485</v>
      </c>
      <c r="F605" s="304">
        <f t="shared" ca="1" si="271"/>
        <v>44.675181249192875</v>
      </c>
      <c r="G605" s="306">
        <f t="shared" ca="1" si="272"/>
        <v>162.21977426874182</v>
      </c>
      <c r="H605" s="307">
        <f t="shared" ca="1" si="273"/>
        <v>401.80593840629194</v>
      </c>
      <c r="I605" s="304">
        <f t="shared" ca="1" si="274"/>
        <v>433.31659015362249</v>
      </c>
      <c r="J605" s="306">
        <f t="shared" ca="1" si="275"/>
        <v>471.28500603400607</v>
      </c>
      <c r="K605" s="307">
        <f t="shared" ca="1" si="276"/>
        <v>1247.7978476484764</v>
      </c>
      <c r="L605" s="304">
        <f t="shared" ca="1" si="261"/>
        <v>1333.8324578104416</v>
      </c>
      <c r="M605" s="306">
        <f t="shared" ca="1" si="277"/>
        <v>1.1870814356343651</v>
      </c>
      <c r="N605" s="304">
        <f t="shared" ca="1" si="278"/>
        <v>68.014756200179804</v>
      </c>
      <c r="P605" s="310">
        <f t="shared" ca="1" si="279"/>
        <v>16</v>
      </c>
      <c r="Q605" s="304">
        <f t="shared" ca="1" si="280"/>
        <v>2047.3236704731021</v>
      </c>
      <c r="R605" s="306">
        <f t="shared" ca="1" si="281"/>
        <v>1.2312075049639879</v>
      </c>
      <c r="S605" s="307">
        <f t="shared" ca="1" si="282"/>
        <v>16.149131909867268</v>
      </c>
      <c r="T605" s="304">
        <f t="shared" ca="1" si="262"/>
        <v>158.42298403579792</v>
      </c>
      <c r="U605" s="311">
        <f t="shared" ca="1" si="263"/>
        <v>0</v>
      </c>
      <c r="V605" s="306">
        <f t="shared" ca="1" si="264"/>
        <v>1.0811213379071611</v>
      </c>
      <c r="W605" s="304">
        <f t="shared" ca="1" si="265"/>
        <v>1183.3459561037985</v>
      </c>
      <c r="Y605" s="314" t="str">
        <f t="shared" ca="1" si="283"/>
        <v/>
      </c>
      <c r="Z605" s="315" t="str">
        <f t="shared" ca="1" si="284"/>
        <v/>
      </c>
      <c r="AA605" s="316" t="str">
        <f t="shared" ca="1" si="285"/>
        <v/>
      </c>
      <c r="AC605" s="310" t="e">
        <f t="shared" ca="1" si="286"/>
        <v>#N/A</v>
      </c>
      <c r="AD605" s="323" t="e">
        <f t="shared" ca="1" si="287"/>
        <v>#N/A</v>
      </c>
      <c r="AE605" s="324">
        <f t="shared" ca="1" si="266"/>
        <v>1247.7978476484764</v>
      </c>
      <c r="AG605" s="306">
        <f t="shared" ca="1" si="288"/>
        <v>44.524037012686897</v>
      </c>
      <c r="AH605" s="304">
        <f t="shared" ca="1" si="289"/>
        <v>53.620967937942865</v>
      </c>
    </row>
    <row r="606" spans="1:34" x14ac:dyDescent="0.2">
      <c r="A606" s="347">
        <f t="shared" ca="1" si="267"/>
        <v>0.01</v>
      </c>
      <c r="B606" s="304">
        <f t="shared" ca="1" si="268"/>
        <v>6.0199999999999161</v>
      </c>
      <c r="D606" s="306">
        <f t="shared" ca="1" si="269"/>
        <v>19.992062423185654</v>
      </c>
      <c r="E606" s="307">
        <f t="shared" ca="1" si="270"/>
        <v>39.708805206309208</v>
      </c>
      <c r="F606" s="304">
        <f t="shared" ca="1" si="271"/>
        <v>44.457527718544597</v>
      </c>
      <c r="G606" s="306">
        <f t="shared" ca="1" si="272"/>
        <v>162.41969489297367</v>
      </c>
      <c r="H606" s="307">
        <f t="shared" ca="1" si="273"/>
        <v>402.20302645835505</v>
      </c>
      <c r="I606" s="304">
        <f t="shared" ca="1" si="274"/>
        <v>433.75964747932341</v>
      </c>
      <c r="J606" s="306">
        <f t="shared" ca="1" si="275"/>
        <v>472.90820337981467</v>
      </c>
      <c r="K606" s="307">
        <f t="shared" ca="1" si="276"/>
        <v>1251.8178924727995</v>
      </c>
      <c r="L606" s="304">
        <f t="shared" ca="1" si="261"/>
        <v>1338.1667327874227</v>
      </c>
      <c r="M606" s="306">
        <f t="shared" ca="1" si="277"/>
        <v>1.1869967678224422</v>
      </c>
      <c r="N606" s="304">
        <f t="shared" ca="1" si="278"/>
        <v>68.009905091896016</v>
      </c>
      <c r="P606" s="310">
        <f t="shared" ca="1" si="279"/>
        <v>16</v>
      </c>
      <c r="Q606" s="304">
        <f t="shared" ca="1" si="280"/>
        <v>2045.0883034257938</v>
      </c>
      <c r="R606" s="306">
        <f t="shared" ca="1" si="281"/>
        <v>1.2298632130356095</v>
      </c>
      <c r="S606" s="307">
        <f t="shared" ca="1" si="282"/>
        <v>16.136833277736912</v>
      </c>
      <c r="T606" s="304">
        <f t="shared" ca="1" si="262"/>
        <v>158.30233445459911</v>
      </c>
      <c r="U606" s="311">
        <f t="shared" ca="1" si="263"/>
        <v>0</v>
      </c>
      <c r="V606" s="306">
        <f t="shared" ca="1" si="264"/>
        <v>1.0806851064658971</v>
      </c>
      <c r="W606" s="304">
        <f t="shared" ca="1" si="265"/>
        <v>1185.2886312844037</v>
      </c>
      <c r="Y606" s="314" t="str">
        <f t="shared" ca="1" si="283"/>
        <v/>
      </c>
      <c r="Z606" s="315" t="str">
        <f t="shared" ca="1" si="284"/>
        <v/>
      </c>
      <c r="AA606" s="316" t="str">
        <f t="shared" ca="1" si="285"/>
        <v/>
      </c>
      <c r="AC606" s="310" t="e">
        <f t="shared" ca="1" si="286"/>
        <v>#N/A</v>
      </c>
      <c r="AD606" s="323" t="e">
        <f t="shared" ca="1" si="287"/>
        <v>#N/A</v>
      </c>
      <c r="AE606" s="324">
        <f t="shared" ca="1" si="266"/>
        <v>1251.8178924727995</v>
      </c>
      <c r="AG606" s="306">
        <f t="shared" ca="1" si="288"/>
        <v>44.305577096790053</v>
      </c>
      <c r="AH606" s="304">
        <f t="shared" ca="1" si="289"/>
        <v>53.40219685549414</v>
      </c>
    </row>
    <row r="607" spans="1:34" x14ac:dyDescent="0.2">
      <c r="A607" s="347">
        <f t="shared" ca="1" si="267"/>
        <v>0.01</v>
      </c>
      <c r="B607" s="304">
        <f t="shared" ca="1" si="268"/>
        <v>6.0299999999999159</v>
      </c>
      <c r="D607" s="306">
        <f t="shared" ca="1" si="269"/>
        <v>19.914466991952462</v>
      </c>
      <c r="E607" s="307">
        <f t="shared" ca="1" si="270"/>
        <v>39.504579120138438</v>
      </c>
      <c r="F607" s="304">
        <f t="shared" ca="1" si="271"/>
        <v>44.240227926999225</v>
      </c>
      <c r="G607" s="306">
        <f t="shared" ca="1" si="272"/>
        <v>162.61883956289319</v>
      </c>
      <c r="H607" s="307">
        <f t="shared" ca="1" si="273"/>
        <v>402.59807224955642</v>
      </c>
      <c r="I607" s="304">
        <f t="shared" ca="1" si="274"/>
        <v>434.20052367522663</v>
      </c>
      <c r="J607" s="306">
        <f t="shared" ca="1" si="275"/>
        <v>474.53339605209402</v>
      </c>
      <c r="K607" s="307">
        <f t="shared" ca="1" si="276"/>
        <v>1255.841897966339</v>
      </c>
      <c r="L607" s="304">
        <f t="shared" ca="1" si="261"/>
        <v>1342.5054251869637</v>
      </c>
      <c r="M607" s="306">
        <f t="shared" ca="1" si="277"/>
        <v>1.1869121682422326</v>
      </c>
      <c r="N607" s="304">
        <f t="shared" ca="1" si="278"/>
        <v>68.005057893001421</v>
      </c>
      <c r="P607" s="310">
        <f t="shared" ca="1" si="279"/>
        <v>16</v>
      </c>
      <c r="Q607" s="304">
        <f t="shared" ca="1" si="280"/>
        <v>2042.8529363784855</v>
      </c>
      <c r="R607" s="306">
        <f t="shared" ca="1" si="281"/>
        <v>1.2285189211072312</v>
      </c>
      <c r="S607" s="307">
        <f t="shared" ca="1" si="282"/>
        <v>16.124548088525838</v>
      </c>
      <c r="T607" s="304">
        <f t="shared" ca="1" si="262"/>
        <v>158.18181674843848</v>
      </c>
      <c r="U607" s="311">
        <f t="shared" ca="1" si="263"/>
        <v>0</v>
      </c>
      <c r="V607" s="306">
        <f t="shared" ca="1" si="264"/>
        <v>1.0802486104861411</v>
      </c>
      <c r="W607" s="304">
        <f t="shared" ca="1" si="265"/>
        <v>1187.2196065679482</v>
      </c>
      <c r="Y607" s="314" t="str">
        <f t="shared" ca="1" si="283"/>
        <v/>
      </c>
      <c r="Z607" s="315" t="str">
        <f t="shared" ca="1" si="284"/>
        <v/>
      </c>
      <c r="AA607" s="316" t="str">
        <f t="shared" ca="1" si="285"/>
        <v/>
      </c>
      <c r="AC607" s="310" t="e">
        <f t="shared" ca="1" si="286"/>
        <v>#N/A</v>
      </c>
      <c r="AD607" s="323" t="e">
        <f t="shared" ca="1" si="287"/>
        <v>#N/A</v>
      </c>
      <c r="AE607" s="324">
        <f t="shared" ca="1" si="266"/>
        <v>1255.841897966339</v>
      </c>
      <c r="AG607" s="306">
        <f t="shared" ca="1" si="288"/>
        <v>44.087464209735906</v>
      </c>
      <c r="AH607" s="304">
        <f t="shared" ca="1" si="289"/>
        <v>53.183772989230071</v>
      </c>
    </row>
    <row r="608" spans="1:34" x14ac:dyDescent="0.2">
      <c r="A608" s="347">
        <f t="shared" ca="1" si="267"/>
        <v>0.01</v>
      </c>
      <c r="B608" s="304">
        <f t="shared" ca="1" si="268"/>
        <v>6.0399999999999157</v>
      </c>
      <c r="D608" s="306">
        <f t="shared" ca="1" si="269"/>
        <v>19.836964432391234</v>
      </c>
      <c r="E608" s="307">
        <f t="shared" ca="1" si="270"/>
        <v>39.300691364114648</v>
      </c>
      <c r="F608" s="304">
        <f t="shared" ca="1" si="271"/>
        <v>44.023283607533763</v>
      </c>
      <c r="G608" s="306">
        <f t="shared" ca="1" si="272"/>
        <v>162.8172092072171</v>
      </c>
      <c r="H608" s="307">
        <f t="shared" ca="1" si="273"/>
        <v>402.99107916319758</v>
      </c>
      <c r="I608" s="304">
        <f t="shared" ca="1" si="274"/>
        <v>434.6392222282123</v>
      </c>
      <c r="J608" s="306">
        <f t="shared" ca="1" si="275"/>
        <v>476.16057629594457</v>
      </c>
      <c r="K608" s="307">
        <f t="shared" ca="1" si="276"/>
        <v>1259.8698437234027</v>
      </c>
      <c r="L608" s="304">
        <f t="shared" ca="1" si="261"/>
        <v>1346.8485132122755</v>
      </c>
      <c r="M608" s="306">
        <f t="shared" ca="1" si="277"/>
        <v>1.1868276363466783</v>
      </c>
      <c r="N608" s="304">
        <f t="shared" ca="1" si="278"/>
        <v>68.000214572151933</v>
      </c>
      <c r="P608" s="310">
        <f t="shared" ca="1" si="279"/>
        <v>16</v>
      </c>
      <c r="Q608" s="304">
        <f t="shared" ca="1" si="280"/>
        <v>2040.6175693311773</v>
      </c>
      <c r="R608" s="306">
        <f t="shared" ca="1" si="281"/>
        <v>1.2271746291788526</v>
      </c>
      <c r="S608" s="307">
        <f t="shared" ca="1" si="282"/>
        <v>16.11227634223405</v>
      </c>
      <c r="T608" s="304">
        <f t="shared" ca="1" si="262"/>
        <v>158.06143091731604</v>
      </c>
      <c r="U608" s="311">
        <f t="shared" ca="1" si="263"/>
        <v>0</v>
      </c>
      <c r="V608" s="306">
        <f t="shared" ca="1" si="264"/>
        <v>1.0798118525742706</v>
      </c>
      <c r="W608" s="304">
        <f t="shared" ca="1" si="265"/>
        <v>1189.1388772776661</v>
      </c>
      <c r="Y608" s="314" t="str">
        <f t="shared" ca="1" si="283"/>
        <v/>
      </c>
      <c r="Z608" s="315" t="str">
        <f t="shared" ca="1" si="284"/>
        <v/>
      </c>
      <c r="AA608" s="316" t="str">
        <f t="shared" ca="1" si="285"/>
        <v/>
      </c>
      <c r="AC608" s="310" t="e">
        <f t="shared" ca="1" si="286"/>
        <v>#N/A</v>
      </c>
      <c r="AD608" s="323" t="e">
        <f t="shared" ca="1" si="287"/>
        <v>#N/A</v>
      </c>
      <c r="AE608" s="324">
        <f t="shared" ca="1" si="266"/>
        <v>1259.8698437234027</v>
      </c>
      <c r="AG608" s="306">
        <f t="shared" ca="1" si="288"/>
        <v>43.86970000976072</v>
      </c>
      <c r="AH608" s="304">
        <f t="shared" ca="1" si="289"/>
        <v>52.965697995526128</v>
      </c>
    </row>
    <row r="609" spans="1:34" x14ac:dyDescent="0.2">
      <c r="A609" s="347">
        <f t="shared" ca="1" si="267"/>
        <v>0.01</v>
      </c>
      <c r="B609" s="304">
        <f t="shared" ca="1" si="268"/>
        <v>6.0499999999999154</v>
      </c>
      <c r="D609" s="306">
        <f t="shared" ca="1" si="269"/>
        <v>19.75955550910016</v>
      </c>
      <c r="E609" s="307">
        <f t="shared" ca="1" si="270"/>
        <v>39.097143398232461</v>
      </c>
      <c r="F609" s="304">
        <f t="shared" ca="1" si="271"/>
        <v>43.80669647233357</v>
      </c>
      <c r="G609" s="306">
        <f t="shared" ca="1" si="272"/>
        <v>163.0148047623081</v>
      </c>
      <c r="H609" s="307">
        <f t="shared" ca="1" si="273"/>
        <v>403.3820505971799</v>
      </c>
      <c r="I609" s="304">
        <f t="shared" ca="1" si="274"/>
        <v>435.07574664152361</v>
      </c>
      <c r="J609" s="306">
        <f t="shared" ca="1" si="275"/>
        <v>477.78973636579218</v>
      </c>
      <c r="K609" s="307">
        <f t="shared" ca="1" si="276"/>
        <v>1263.9017093722046</v>
      </c>
      <c r="L609" s="304">
        <f t="shared" ca="1" si="261"/>
        <v>1351.1959751014926</v>
      </c>
      <c r="M609" s="306">
        <f t="shared" ca="1" si="277"/>
        <v>1.1867431715919565</v>
      </c>
      <c r="N609" s="304">
        <f t="shared" ca="1" si="278"/>
        <v>67.995375098188759</v>
      </c>
      <c r="P609" s="310">
        <f t="shared" ca="1" si="279"/>
        <v>16</v>
      </c>
      <c r="Q609" s="304">
        <f t="shared" ca="1" si="280"/>
        <v>2038.382202283869</v>
      </c>
      <c r="R609" s="306">
        <f t="shared" ca="1" si="281"/>
        <v>1.2258303372504742</v>
      </c>
      <c r="S609" s="307">
        <f t="shared" ca="1" si="282"/>
        <v>16.100018038861545</v>
      </c>
      <c r="T609" s="304">
        <f t="shared" ca="1" si="262"/>
        <v>157.94117696123178</v>
      </c>
      <c r="U609" s="311">
        <f t="shared" ca="1" si="263"/>
        <v>0</v>
      </c>
      <c r="V609" s="306">
        <f t="shared" ca="1" si="264"/>
        <v>1.0793748353296297</v>
      </c>
      <c r="W609" s="304">
        <f t="shared" ca="1" si="265"/>
        <v>1191.0464391397152</v>
      </c>
      <c r="Y609" s="314" t="str">
        <f t="shared" ca="1" si="283"/>
        <v/>
      </c>
      <c r="Z609" s="315" t="str">
        <f t="shared" ca="1" si="284"/>
        <v/>
      </c>
      <c r="AA609" s="316" t="str">
        <f t="shared" ca="1" si="285"/>
        <v/>
      </c>
      <c r="AC609" s="310" t="e">
        <f t="shared" ca="1" si="286"/>
        <v>#N/A</v>
      </c>
      <c r="AD609" s="323" t="e">
        <f t="shared" ca="1" si="287"/>
        <v>#N/A</v>
      </c>
      <c r="AE609" s="324">
        <f t="shared" ca="1" si="266"/>
        <v>1263.9017093722046</v>
      </c>
      <c r="AG609" s="306">
        <f t="shared" ca="1" si="288"/>
        <v>43.652286133203091</v>
      </c>
      <c r="AH609" s="304">
        <f t="shared" ca="1" si="289"/>
        <v>52.747973508870309</v>
      </c>
    </row>
    <row r="610" spans="1:34" x14ac:dyDescent="0.2">
      <c r="A610" s="347">
        <f t="shared" ca="1" si="267"/>
        <v>0.01</v>
      </c>
      <c r="B610" s="304">
        <f t="shared" ca="1" si="268"/>
        <v>6.0599999999999152</v>
      </c>
      <c r="D610" s="306">
        <f t="shared" ca="1" si="269"/>
        <v>19.682240978269029</v>
      </c>
      <c r="E610" s="307">
        <f t="shared" ca="1" si="270"/>
        <v>38.893936662308278</v>
      </c>
      <c r="F610" s="304">
        <f t="shared" ca="1" si="271"/>
        <v>43.590468212882278</v>
      </c>
      <c r="G610" s="306">
        <f t="shared" ca="1" si="272"/>
        <v>163.2116271720908</v>
      </c>
      <c r="H610" s="307">
        <f t="shared" ca="1" si="273"/>
        <v>403.770989963803</v>
      </c>
      <c r="I610" s="304">
        <f t="shared" ca="1" si="274"/>
        <v>435.51010043454914</v>
      </c>
      <c r="J610" s="306">
        <f t="shared" ca="1" si="275"/>
        <v>479.42086852546419</v>
      </c>
      <c r="K610" s="307">
        <f t="shared" ca="1" si="276"/>
        <v>1267.9374745750094</v>
      </c>
      <c r="L610" s="304">
        <f t="shared" ca="1" si="261"/>
        <v>1355.5477891278356</v>
      </c>
      <c r="M610" s="306">
        <f t="shared" ca="1" si="277"/>
        <v>1.186658773437453</v>
      </c>
      <c r="N610" s="304">
        <f t="shared" ca="1" si="278"/>
        <v>67.990539440137013</v>
      </c>
      <c r="P610" s="310">
        <f t="shared" ca="1" si="279"/>
        <v>16</v>
      </c>
      <c r="Q610" s="304">
        <f t="shared" ca="1" si="280"/>
        <v>2036.1468352365607</v>
      </c>
      <c r="R610" s="306">
        <f t="shared" ca="1" si="281"/>
        <v>1.2244860453220958</v>
      </c>
      <c r="S610" s="307">
        <f t="shared" ca="1" si="282"/>
        <v>16.087773178408323</v>
      </c>
      <c r="T610" s="304">
        <f t="shared" ca="1" si="262"/>
        <v>157.82105488018567</v>
      </c>
      <c r="U610" s="311">
        <f t="shared" ca="1" si="263"/>
        <v>0</v>
      </c>
      <c r="V610" s="306">
        <f t="shared" ca="1" si="264"/>
        <v>1.0789375613445162</v>
      </c>
      <c r="W610" s="304">
        <f t="shared" ca="1" si="265"/>
        <v>1192.942288280497</v>
      </c>
      <c r="Y610" s="314" t="str">
        <f t="shared" ca="1" si="283"/>
        <v/>
      </c>
      <c r="Z610" s="315" t="str">
        <f t="shared" ca="1" si="284"/>
        <v/>
      </c>
      <c r="AA610" s="316" t="str">
        <f t="shared" ca="1" si="285"/>
        <v/>
      </c>
      <c r="AC610" s="310" t="e">
        <f t="shared" ca="1" si="286"/>
        <v>#N/A</v>
      </c>
      <c r="AD610" s="323" t="e">
        <f t="shared" ca="1" si="287"/>
        <v>#N/A</v>
      </c>
      <c r="AE610" s="324">
        <f t="shared" ca="1" si="266"/>
        <v>1267.9374745750094</v>
      </c>
      <c r="AG610" s="306">
        <f t="shared" ca="1" si="288"/>
        <v>43.435224194573351</v>
      </c>
      <c r="AH610" s="304">
        <f t="shared" ca="1" si="289"/>
        <v>52.530601141932394</v>
      </c>
    </row>
    <row r="611" spans="1:34" x14ac:dyDescent="0.2">
      <c r="A611" s="347">
        <f t="shared" ca="1" si="267"/>
        <v>0.01</v>
      </c>
      <c r="B611" s="304">
        <f t="shared" ca="1" si="268"/>
        <v>6.069999999999915</v>
      </c>
      <c r="D611" s="306">
        <f t="shared" ca="1" si="269"/>
        <v>19.60502158770225</v>
      </c>
      <c r="E611" s="307">
        <f t="shared" ca="1" si="270"/>
        <v>38.691072576046771</v>
      </c>
      <c r="F611" s="304">
        <f t="shared" ca="1" si="271"/>
        <v>43.374600500052907</v>
      </c>
      <c r="G611" s="306">
        <f t="shared" ca="1" si="272"/>
        <v>163.40767738796782</v>
      </c>
      <c r="H611" s="307">
        <f t="shared" ca="1" si="273"/>
        <v>404.15790068956346</v>
      </c>
      <c r="I611" s="304">
        <f t="shared" ca="1" si="274"/>
        <v>435.9422871426047</v>
      </c>
      <c r="J611" s="306">
        <f t="shared" ca="1" si="275"/>
        <v>481.0539650482645</v>
      </c>
      <c r="K611" s="307">
        <f t="shared" ca="1" si="276"/>
        <v>1271.9771190282763</v>
      </c>
      <c r="L611" s="304">
        <f t="shared" ca="1" si="261"/>
        <v>1359.9039335997711</v>
      </c>
      <c r="M611" s="306">
        <f t="shared" ca="1" si="277"/>
        <v>1.1865744413457338</v>
      </c>
      <c r="N611" s="304">
        <f t="shared" ca="1" si="278"/>
        <v>67.985707567203988</v>
      </c>
      <c r="P611" s="310">
        <f t="shared" ca="1" si="279"/>
        <v>16</v>
      </c>
      <c r="Q611" s="304">
        <f t="shared" ca="1" si="280"/>
        <v>2033.9114681892524</v>
      </c>
      <c r="R611" s="306">
        <f t="shared" ca="1" si="281"/>
        <v>1.2231417533937172</v>
      </c>
      <c r="S611" s="307">
        <f t="shared" ca="1" si="282"/>
        <v>16.075541760874387</v>
      </c>
      <c r="T611" s="304">
        <f t="shared" ca="1" si="262"/>
        <v>157.70106467417776</v>
      </c>
      <c r="U611" s="311">
        <f t="shared" ca="1" si="263"/>
        <v>0</v>
      </c>
      <c r="V611" s="306">
        <f t="shared" ca="1" si="264"/>
        <v>1.078500033204171</v>
      </c>
      <c r="W611" s="304">
        <f t="shared" ca="1" si="265"/>
        <v>1194.8264212239667</v>
      </c>
      <c r="Y611" s="314" t="str">
        <f t="shared" ca="1" si="283"/>
        <v/>
      </c>
      <c r="Z611" s="315" t="str">
        <f t="shared" ca="1" si="284"/>
        <v/>
      </c>
      <c r="AA611" s="316" t="str">
        <f t="shared" ca="1" si="285"/>
        <v/>
      </c>
      <c r="AC611" s="310" t="e">
        <f t="shared" ca="1" si="286"/>
        <v>#N/A</v>
      </c>
      <c r="AD611" s="323" t="e">
        <f t="shared" ca="1" si="287"/>
        <v>#N/A</v>
      </c>
      <c r="AE611" s="324">
        <f t="shared" ca="1" si="266"/>
        <v>1271.9771190282763</v>
      </c>
      <c r="AG611" s="306">
        <f t="shared" ca="1" si="288"/>
        <v>43.218515786623634</v>
      </c>
      <c r="AH611" s="304">
        <f t="shared" ca="1" si="289"/>
        <v>52.313582485633951</v>
      </c>
    </row>
    <row r="612" spans="1:34" x14ac:dyDescent="0.2">
      <c r="A612" s="347">
        <f t="shared" ca="1" si="267"/>
        <v>0.01</v>
      </c>
      <c r="B612" s="304">
        <f t="shared" ca="1" si="268"/>
        <v>6.0799999999999148</v>
      </c>
      <c r="D612" s="306">
        <f t="shared" ca="1" si="269"/>
        <v>19.527898076842575</v>
      </c>
      <c r="E612" s="307">
        <f t="shared" ca="1" si="270"/>
        <v>38.488552539108504</v>
      </c>
      <c r="F612" s="304">
        <f t="shared" ca="1" si="271"/>
        <v>43.159094984200813</v>
      </c>
      <c r="G612" s="306">
        <f t="shared" ca="1" si="272"/>
        <v>163.60295636873624</v>
      </c>
      <c r="H612" s="307">
        <f t="shared" ca="1" si="273"/>
        <v>404.54278621495456</v>
      </c>
      <c r="I612" s="304">
        <f t="shared" ca="1" si="274"/>
        <v>436.37231031671689</v>
      </c>
      <c r="J612" s="306">
        <f t="shared" ca="1" si="275"/>
        <v>482.68901821704804</v>
      </c>
      <c r="K612" s="307">
        <f t="shared" ca="1" si="276"/>
        <v>1276.0206224627989</v>
      </c>
      <c r="L612" s="304">
        <f t="shared" ca="1" si="261"/>
        <v>1364.2643868611708</v>
      </c>
      <c r="M612" s="306">
        <f t="shared" ca="1" si="277"/>
        <v>1.1864901747825183</v>
      </c>
      <c r="N612" s="304">
        <f t="shared" ca="1" si="278"/>
        <v>67.980879448777671</v>
      </c>
      <c r="P612" s="310">
        <f t="shared" ca="1" si="279"/>
        <v>16</v>
      </c>
      <c r="Q612" s="304">
        <f t="shared" ca="1" si="280"/>
        <v>2031.6761011419442</v>
      </c>
      <c r="R612" s="306">
        <f t="shared" ca="1" si="281"/>
        <v>1.2217974614653389</v>
      </c>
      <c r="S612" s="307">
        <f t="shared" ca="1" si="282"/>
        <v>16.063323786259733</v>
      </c>
      <c r="T612" s="304">
        <f t="shared" ca="1" si="262"/>
        <v>157.58120634320798</v>
      </c>
      <c r="U612" s="311">
        <f t="shared" ca="1" si="263"/>
        <v>0</v>
      </c>
      <c r="V612" s="306">
        <f t="shared" ca="1" si="264"/>
        <v>1.0780622534867625</v>
      </c>
      <c r="W612" s="304">
        <f t="shared" ca="1" si="265"/>
        <v>1196.6988348889411</v>
      </c>
      <c r="Y612" s="314" t="str">
        <f t="shared" ca="1" si="283"/>
        <v/>
      </c>
      <c r="Z612" s="315" t="str">
        <f t="shared" ca="1" si="284"/>
        <v/>
      </c>
      <c r="AA612" s="316" t="str">
        <f t="shared" ca="1" si="285"/>
        <v/>
      </c>
      <c r="AC612" s="310" t="e">
        <f t="shared" ca="1" si="286"/>
        <v>#N/A</v>
      </c>
      <c r="AD612" s="323" t="e">
        <f t="shared" ca="1" si="287"/>
        <v>#N/A</v>
      </c>
      <c r="AE612" s="324">
        <f t="shared" ca="1" si="266"/>
        <v>1276.0206224627989</v>
      </c>
      <c r="AG612" s="306">
        <f t="shared" ca="1" si="288"/>
        <v>43.002162480419244</v>
      </c>
      <c r="AH612" s="304">
        <f t="shared" ca="1" si="289"/>
        <v>52.096919109219662</v>
      </c>
    </row>
    <row r="613" spans="1:34" x14ac:dyDescent="0.2">
      <c r="A613" s="347">
        <f t="shared" ca="1" si="267"/>
        <v>0.01</v>
      </c>
      <c r="B613" s="304">
        <f t="shared" ca="1" si="268"/>
        <v>6.0899999999999146</v>
      </c>
      <c r="D613" s="306">
        <f t="shared" ca="1" si="269"/>
        <v>19.450871176794973</v>
      </c>
      <c r="E613" s="307">
        <f t="shared" ca="1" si="270"/>
        <v>38.286377931178158</v>
      </c>
      <c r="F613" s="304">
        <f t="shared" ca="1" si="271"/>
        <v>42.943953295257757</v>
      </c>
      <c r="G613" s="306">
        <f t="shared" ca="1" si="272"/>
        <v>163.7974650805042</v>
      </c>
      <c r="H613" s="307">
        <f t="shared" ca="1" si="273"/>
        <v>404.92564999426634</v>
      </c>
      <c r="I613" s="304">
        <f t="shared" ca="1" si="274"/>
        <v>436.80017352340656</v>
      </c>
      <c r="J613" s="306">
        <f t="shared" ca="1" si="275"/>
        <v>484.32602032429423</v>
      </c>
      <c r="K613" s="307">
        <f t="shared" ca="1" si="276"/>
        <v>1280.067964643845</v>
      </c>
      <c r="L613" s="304">
        <f t="shared" ca="1" si="261"/>
        <v>1368.6291272914677</v>
      </c>
      <c r="M613" s="306">
        <f t="shared" ca="1" si="277"/>
        <v>1.1864059732166528</v>
      </c>
      <c r="N613" s="304">
        <f t="shared" ca="1" si="278"/>
        <v>67.976055054425188</v>
      </c>
      <c r="P613" s="310">
        <f t="shared" ca="1" si="279"/>
        <v>16</v>
      </c>
      <c r="Q613" s="304">
        <f t="shared" ca="1" si="280"/>
        <v>2029.4407340946359</v>
      </c>
      <c r="R613" s="306">
        <f t="shared" ca="1" si="281"/>
        <v>1.2204531695369603</v>
      </c>
      <c r="S613" s="307">
        <f t="shared" ca="1" si="282"/>
        <v>16.051119254564362</v>
      </c>
      <c r="T613" s="304">
        <f t="shared" ca="1" si="262"/>
        <v>157.4614798872764</v>
      </c>
      <c r="U613" s="311">
        <f t="shared" ca="1" si="263"/>
        <v>0</v>
      </c>
      <c r="V613" s="306">
        <f t="shared" ca="1" si="264"/>
        <v>1.0776242247633769</v>
      </c>
      <c r="W613" s="304">
        <f t="shared" ca="1" si="265"/>
        <v>1198.5595265864001</v>
      </c>
      <c r="Y613" s="314" t="str">
        <f t="shared" ca="1" si="283"/>
        <v/>
      </c>
      <c r="Z613" s="315" t="str">
        <f t="shared" ca="1" si="284"/>
        <v/>
      </c>
      <c r="AA613" s="316" t="str">
        <f t="shared" ca="1" si="285"/>
        <v/>
      </c>
      <c r="AC613" s="310" t="e">
        <f t="shared" ca="1" si="286"/>
        <v>#N/A</v>
      </c>
      <c r="AD613" s="323" t="e">
        <f t="shared" ca="1" si="287"/>
        <v>#N/A</v>
      </c>
      <c r="AE613" s="324">
        <f t="shared" ca="1" si="266"/>
        <v>1280.067964643845</v>
      </c>
      <c r="AG613" s="306">
        <f t="shared" ca="1" si="288"/>
        <v>42.786165825410777</v>
      </c>
      <c r="AH613" s="304">
        <f t="shared" ca="1" si="289"/>
        <v>51.880612560329268</v>
      </c>
    </row>
    <row r="614" spans="1:34" x14ac:dyDescent="0.2">
      <c r="A614" s="347">
        <f t="shared" ca="1" si="267"/>
        <v>0.01</v>
      </c>
      <c r="B614" s="304">
        <f t="shared" ca="1" si="268"/>
        <v>6.0999999999999144</v>
      </c>
      <c r="D614" s="306">
        <f t="shared" ca="1" si="269"/>
        <v>19.373941610350872</v>
      </c>
      <c r="E614" s="307">
        <f t="shared" ca="1" si="270"/>
        <v>38.084550112033654</v>
      </c>
      <c r="F614" s="304">
        <f t="shared" ca="1" si="271"/>
        <v>42.729177042827395</v>
      </c>
      <c r="G614" s="306">
        <f t="shared" ca="1" si="272"/>
        <v>163.99120449660771</v>
      </c>
      <c r="H614" s="307">
        <f t="shared" ca="1" si="273"/>
        <v>405.30649549538668</v>
      </c>
      <c r="I614" s="304">
        <f t="shared" ca="1" si="274"/>
        <v>437.22588034447381</v>
      </c>
      <c r="J614" s="306">
        <f t="shared" ca="1" si="275"/>
        <v>485.96496367217981</v>
      </c>
      <c r="K614" s="307">
        <f t="shared" ca="1" si="276"/>
        <v>1284.1191253712932</v>
      </c>
      <c r="L614" s="304">
        <f t="shared" ca="1" si="261"/>
        <v>1372.9981333058097</v>
      </c>
      <c r="M614" s="306">
        <f t="shared" ca="1" si="277"/>
        <v>1.1863218361200834</v>
      </c>
      <c r="N614" s="304">
        <f t="shared" ca="1" si="278"/>
        <v>67.971234353891276</v>
      </c>
      <c r="P614" s="310">
        <f t="shared" ca="1" si="279"/>
        <v>16</v>
      </c>
      <c r="Q614" s="304">
        <f t="shared" ca="1" si="280"/>
        <v>2027.2053670473276</v>
      </c>
      <c r="R614" s="306">
        <f t="shared" ca="1" si="281"/>
        <v>1.2191088776085819</v>
      </c>
      <c r="S614" s="307">
        <f t="shared" ca="1" si="282"/>
        <v>16.038928165788278</v>
      </c>
      <c r="T614" s="304">
        <f t="shared" ca="1" si="262"/>
        <v>157.34188530638301</v>
      </c>
      <c r="U614" s="311">
        <f t="shared" ca="1" si="263"/>
        <v>0</v>
      </c>
      <c r="V614" s="306">
        <f t="shared" ca="1" si="264"/>
        <v>1.0771859495980065</v>
      </c>
      <c r="W614" s="304">
        <f t="shared" ca="1" si="265"/>
        <v>1200.4084940167877</v>
      </c>
      <c r="Y614" s="314" t="str">
        <f t="shared" ca="1" si="283"/>
        <v/>
      </c>
      <c r="Z614" s="315" t="str">
        <f t="shared" ca="1" si="284"/>
        <v/>
      </c>
      <c r="AA614" s="316" t="str">
        <f t="shared" ca="1" si="285"/>
        <v/>
      </c>
      <c r="AC614" s="310" t="e">
        <f t="shared" ca="1" si="286"/>
        <v>#N/A</v>
      </c>
      <c r="AD614" s="323" t="e">
        <f t="shared" ca="1" si="287"/>
        <v>#N/A</v>
      </c>
      <c r="AE614" s="324">
        <f t="shared" ca="1" si="266"/>
        <v>1284.1191253712932</v>
      </c>
      <c r="AG614" s="306">
        <f t="shared" ca="1" si="288"/>
        <v>42.57052734950706</v>
      </c>
      <c r="AH614" s="304">
        <f t="shared" ca="1" si="289"/>
        <v>51.664664365070522</v>
      </c>
    </row>
    <row r="615" spans="1:34" x14ac:dyDescent="0.2">
      <c r="A615" s="347">
        <f t="shared" ca="1" si="267"/>
        <v>0.01</v>
      </c>
      <c r="B615" s="304">
        <f t="shared" ca="1" si="268"/>
        <v>6.1099999999999142</v>
      </c>
      <c r="D615" s="306">
        <f t="shared" ca="1" si="269"/>
        <v>19.297110092012741</v>
      </c>
      <c r="E615" s="307">
        <f t="shared" ca="1" si="270"/>
        <v>37.883070421615983</v>
      </c>
      <c r="F615" s="304">
        <f t="shared" ca="1" si="271"/>
        <v>42.514767816282095</v>
      </c>
      <c r="G615" s="306">
        <f t="shared" ca="1" si="272"/>
        <v>164.18417559752783</v>
      </c>
      <c r="H615" s="307">
        <f t="shared" ca="1" si="273"/>
        <v>405.68532619960286</v>
      </c>
      <c r="I615" s="304">
        <f t="shared" ca="1" si="274"/>
        <v>437.64943437678295</v>
      </c>
      <c r="J615" s="306">
        <f t="shared" ca="1" si="275"/>
        <v>487.60584057265049</v>
      </c>
      <c r="K615" s="307">
        <f t="shared" ca="1" si="276"/>
        <v>1288.1740844797682</v>
      </c>
      <c r="L615" s="304">
        <f t="shared" ca="1" si="261"/>
        <v>1377.3713833552119</v>
      </c>
      <c r="M615" s="306">
        <f t="shared" ca="1" si="277"/>
        <v>1.1862377629678307</v>
      </c>
      <c r="N615" s="304">
        <f t="shared" ca="1" si="278"/>
        <v>67.966417317096841</v>
      </c>
      <c r="P615" s="310">
        <f t="shared" ca="1" si="279"/>
        <v>16</v>
      </c>
      <c r="Q615" s="304">
        <f t="shared" ca="1" si="280"/>
        <v>2024.9700000000194</v>
      </c>
      <c r="R615" s="306">
        <f t="shared" ca="1" si="281"/>
        <v>1.2177645856802035</v>
      </c>
      <c r="S615" s="307">
        <f t="shared" ca="1" si="282"/>
        <v>16.026750519931475</v>
      </c>
      <c r="T615" s="304">
        <f t="shared" ca="1" si="262"/>
        <v>157.22242260052778</v>
      </c>
      <c r="U615" s="311">
        <f t="shared" ca="1" si="263"/>
        <v>0</v>
      </c>
      <c r="V615" s="306">
        <f t="shared" ca="1" si="264"/>
        <v>1.0767474305475384</v>
      </c>
      <c r="W615" s="304">
        <f t="shared" ca="1" si="265"/>
        <v>1202.2457352673046</v>
      </c>
      <c r="Y615" s="314" t="str">
        <f t="shared" ca="1" si="283"/>
        <v/>
      </c>
      <c r="Z615" s="315" t="str">
        <f t="shared" ca="1" si="284"/>
        <v/>
      </c>
      <c r="AA615" s="316" t="str">
        <f t="shared" ca="1" si="285"/>
        <v/>
      </c>
      <c r="AC615" s="310" t="e">
        <f t="shared" ca="1" si="286"/>
        <v>#N/A</v>
      </c>
      <c r="AD615" s="323" t="e">
        <f t="shared" ca="1" si="287"/>
        <v>#N/A</v>
      </c>
      <c r="AE615" s="324">
        <f t="shared" ca="1" si="266"/>
        <v>1288.1740844797682</v>
      </c>
      <c r="AG615" s="306">
        <f t="shared" ca="1" si="288"/>
        <v>42.355248559149004</v>
      </c>
      <c r="AH615" s="304">
        <f t="shared" ca="1" si="289"/>
        <v>51.449076028092882</v>
      </c>
    </row>
    <row r="616" spans="1:34" x14ac:dyDescent="0.2">
      <c r="A616" s="347">
        <f t="shared" ca="1" si="267"/>
        <v>0.01</v>
      </c>
      <c r="B616" s="304">
        <f t="shared" ca="1" si="268"/>
        <v>6.119999999999914</v>
      </c>
      <c r="D616" s="306">
        <f t="shared" ca="1" si="269"/>
        <v>19.172317591770586</v>
      </c>
      <c r="E616" s="307">
        <f t="shared" ca="1" si="270"/>
        <v>37.563188603061384</v>
      </c>
      <c r="F616" s="304">
        <f t="shared" ca="1" si="271"/>
        <v>42.17310635783042</v>
      </c>
      <c r="G616" s="306">
        <f t="shared" ca="1" si="272"/>
        <v>164.37589877344553</v>
      </c>
      <c r="H616" s="307">
        <f t="shared" ca="1" si="273"/>
        <v>406.06095808563344</v>
      </c>
      <c r="I616" s="304">
        <f t="shared" ca="1" si="274"/>
        <v>438.06955815144306</v>
      </c>
      <c r="J616" s="306">
        <f t="shared" ca="1" si="275"/>
        <v>489.24864094450538</v>
      </c>
      <c r="K616" s="307">
        <f t="shared" ca="1" si="276"/>
        <v>1292.2328159011945</v>
      </c>
      <c r="L616" s="304">
        <f t="shared" ca="1" si="261"/>
        <v>1381.7488495229427</v>
      </c>
      <c r="M616" s="306">
        <f t="shared" ca="1" si="277"/>
        <v>1.1861537529922863</v>
      </c>
      <c r="N616" s="304">
        <f t="shared" ca="1" si="278"/>
        <v>67.961603900061149</v>
      </c>
      <c r="P616" s="310">
        <f t="shared" ca="1" si="279"/>
        <v>17</v>
      </c>
      <c r="Q616" s="304">
        <f t="shared" ca="1" si="280"/>
        <v>2020.6836656891867</v>
      </c>
      <c r="R616" s="306">
        <f t="shared" ca="1" si="281"/>
        <v>1.2151868950842351</v>
      </c>
      <c r="S616" s="307">
        <f t="shared" ca="1" si="282"/>
        <v>16.014598650980634</v>
      </c>
      <c r="T616" s="304">
        <f t="shared" ca="1" si="262"/>
        <v>157.10321276612004</v>
      </c>
      <c r="U616" s="311">
        <f t="shared" ca="1" si="263"/>
        <v>0</v>
      </c>
      <c r="V616" s="306">
        <f t="shared" ca="1" si="264"/>
        <v>1.0763086708034886</v>
      </c>
      <c r="W616" s="304">
        <f t="shared" ca="1" si="265"/>
        <v>1204.0642072411158</v>
      </c>
      <c r="Y616" s="314" t="str">
        <f t="shared" ca="1" si="283"/>
        <v/>
      </c>
      <c r="Z616" s="315" t="str">
        <f t="shared" ca="1" si="284"/>
        <v/>
      </c>
      <c r="AA616" s="316" t="str">
        <f t="shared" ca="1" si="285"/>
        <v/>
      </c>
      <c r="AC616" s="310" t="e">
        <f t="shared" ca="1" si="286"/>
        <v>#N/A</v>
      </c>
      <c r="AD616" s="323" t="e">
        <f t="shared" ca="1" si="287"/>
        <v>#N/A</v>
      </c>
      <c r="AE616" s="324">
        <f t="shared" ca="1" si="266"/>
        <v>1292.2328159011945</v>
      </c>
      <c r="AG616" s="306">
        <f t="shared" ca="1" si="288"/>
        <v>42.012222878367773</v>
      </c>
      <c r="AH616" s="304">
        <f t="shared" ca="1" si="289"/>
        <v>51.105740971645652</v>
      </c>
    </row>
    <row r="617" spans="1:34" x14ac:dyDescent="0.2">
      <c r="A617" s="347">
        <f t="shared" ca="1" si="267"/>
        <v>0.01</v>
      </c>
      <c r="B617" s="304">
        <f t="shared" ca="1" si="268"/>
        <v>6.1299999999999137</v>
      </c>
      <c r="D617" s="306">
        <f t="shared" ca="1" si="269"/>
        <v>19.047682232890534</v>
      </c>
      <c r="E617" s="307">
        <f t="shared" ca="1" si="270"/>
        <v>37.243857375152594</v>
      </c>
      <c r="F617" s="304">
        <f t="shared" ca="1" si="271"/>
        <v>41.83203450259002</v>
      </c>
      <c r="G617" s="306">
        <f t="shared" ca="1" si="272"/>
        <v>164.56637559577445</v>
      </c>
      <c r="H617" s="307">
        <f t="shared" ca="1" si="273"/>
        <v>406.43339665938498</v>
      </c>
      <c r="I617" s="304">
        <f t="shared" ca="1" si="274"/>
        <v>438.48625736368808</v>
      </c>
      <c r="J617" s="306">
        <f t="shared" ca="1" si="275"/>
        <v>490.89335231635147</v>
      </c>
      <c r="K617" s="307">
        <f t="shared" ca="1" si="276"/>
        <v>1296.2952876749196</v>
      </c>
      <c r="L617" s="304">
        <f t="shared" ca="1" si="261"/>
        <v>1386.130497534986</v>
      </c>
      <c r="M617" s="306">
        <f t="shared" ca="1" si="277"/>
        <v>1.1860698054304615</v>
      </c>
      <c r="N617" s="304">
        <f t="shared" ca="1" si="278"/>
        <v>67.956794059068173</v>
      </c>
      <c r="P617" s="310">
        <f t="shared" ca="1" si="279"/>
        <v>17</v>
      </c>
      <c r="Q617" s="304">
        <f t="shared" ca="1" si="280"/>
        <v>2016.3973313783363</v>
      </c>
      <c r="R617" s="306">
        <f t="shared" ca="1" si="281"/>
        <v>1.2126092044882562</v>
      </c>
      <c r="S617" s="307">
        <f t="shared" ca="1" si="282"/>
        <v>16.00247255893575</v>
      </c>
      <c r="T617" s="304">
        <f t="shared" ca="1" si="262"/>
        <v>156.98425580315973</v>
      </c>
      <c r="U617" s="311">
        <f t="shared" ca="1" si="263"/>
        <v>0</v>
      </c>
      <c r="V617" s="306">
        <f t="shared" ca="1" si="264"/>
        <v>1.0758696741896892</v>
      </c>
      <c r="W617" s="304">
        <f t="shared" ca="1" si="265"/>
        <v>1205.8639100774526</v>
      </c>
      <c r="Y617" s="314" t="str">
        <f t="shared" ca="1" si="283"/>
        <v/>
      </c>
      <c r="Z617" s="315" t="str">
        <f t="shared" ca="1" si="284"/>
        <v/>
      </c>
      <c r="AA617" s="316" t="str">
        <f t="shared" ca="1" si="285"/>
        <v/>
      </c>
      <c r="AC617" s="310" t="e">
        <f t="shared" ca="1" si="286"/>
        <v>#N/A</v>
      </c>
      <c r="AD617" s="323" t="e">
        <f t="shared" ca="1" si="287"/>
        <v>#N/A</v>
      </c>
      <c r="AE617" s="324">
        <f t="shared" ca="1" si="266"/>
        <v>1296.2952876749196</v>
      </c>
      <c r="AG617" s="306">
        <f t="shared" ca="1" si="288"/>
        <v>41.669766719628853</v>
      </c>
      <c r="AH617" s="304">
        <f t="shared" ca="1" si="289"/>
        <v>50.76297560551761</v>
      </c>
    </row>
    <row r="618" spans="1:34" x14ac:dyDescent="0.2">
      <c r="A618" s="347">
        <f t="shared" ca="1" si="267"/>
        <v>0.01</v>
      </c>
      <c r="B618" s="304">
        <f t="shared" ca="1" si="268"/>
        <v>6.1399999999999135</v>
      </c>
      <c r="D618" s="306">
        <f t="shared" ca="1" si="269"/>
        <v>18.923205352609138</v>
      </c>
      <c r="E618" s="307">
        <f t="shared" ca="1" si="270"/>
        <v>36.925079382409805</v>
      </c>
      <c r="F618" s="304">
        <f t="shared" ca="1" si="271"/>
        <v>41.491555625383349</v>
      </c>
      <c r="G618" s="306">
        <f t="shared" ca="1" si="272"/>
        <v>164.75560764930054</v>
      </c>
      <c r="H618" s="307">
        <f t="shared" ca="1" si="273"/>
        <v>406.80264745320909</v>
      </c>
      <c r="I618" s="304">
        <f t="shared" ca="1" si="274"/>
        <v>438.89953773822793</v>
      </c>
      <c r="J618" s="306">
        <f t="shared" ca="1" si="275"/>
        <v>492.53996223257684</v>
      </c>
      <c r="K618" s="307">
        <f t="shared" ca="1" si="276"/>
        <v>1300.3614678954825</v>
      </c>
      <c r="L618" s="304">
        <f t="shared" ca="1" si="261"/>
        <v>1390.5162931743598</v>
      </c>
      <c r="M618" s="306">
        <f t="shared" ca="1" si="277"/>
        <v>1.1859859195239359</v>
      </c>
      <c r="N618" s="304">
        <f t="shared" ca="1" si="278"/>
        <v>67.951987750663633</v>
      </c>
      <c r="P618" s="310">
        <f t="shared" ca="1" si="279"/>
        <v>17</v>
      </c>
      <c r="Q618" s="304">
        <f t="shared" ca="1" si="280"/>
        <v>2012.1109970674859</v>
      </c>
      <c r="R618" s="306">
        <f t="shared" ca="1" si="281"/>
        <v>1.2100315138922773</v>
      </c>
      <c r="S618" s="307">
        <f t="shared" ca="1" si="282"/>
        <v>15.990372243796827</v>
      </c>
      <c r="T618" s="304">
        <f t="shared" ca="1" si="262"/>
        <v>156.86555171164687</v>
      </c>
      <c r="U618" s="311">
        <f t="shared" ca="1" si="263"/>
        <v>0</v>
      </c>
      <c r="V618" s="306">
        <f t="shared" ca="1" si="264"/>
        <v>1.0754304445187095</v>
      </c>
      <c r="W618" s="304">
        <f t="shared" ca="1" si="265"/>
        <v>1207.64484471777</v>
      </c>
      <c r="Y618" s="314" t="str">
        <f t="shared" ca="1" si="283"/>
        <v/>
      </c>
      <c r="Z618" s="315" t="str">
        <f t="shared" ca="1" si="284"/>
        <v/>
      </c>
      <c r="AA618" s="316" t="str">
        <f t="shared" ca="1" si="285"/>
        <v/>
      </c>
      <c r="AC618" s="310" t="e">
        <f t="shared" ca="1" si="286"/>
        <v>#N/A</v>
      </c>
      <c r="AD618" s="323" t="e">
        <f t="shared" ca="1" si="287"/>
        <v>#N/A</v>
      </c>
      <c r="AE618" s="324">
        <f t="shared" ca="1" si="266"/>
        <v>1300.3614678954825</v>
      </c>
      <c r="AG618" s="306">
        <f t="shared" ca="1" si="288"/>
        <v>41.327883030580892</v>
      </c>
      <c r="AH618" s="304">
        <f t="shared" ca="1" si="289"/>
        <v>50.420782874695249</v>
      </c>
    </row>
    <row r="619" spans="1:34" x14ac:dyDescent="0.2">
      <c r="A619" s="347">
        <f t="shared" ca="1" si="267"/>
        <v>0.01</v>
      </c>
      <c r="B619" s="304">
        <f t="shared" ca="1" si="268"/>
        <v>6.1499999999999133</v>
      </c>
      <c r="D619" s="306">
        <f t="shared" ca="1" si="269"/>
        <v>18.798888270103181</v>
      </c>
      <c r="E619" s="307">
        <f t="shared" ca="1" si="270"/>
        <v>36.606857226088579</v>
      </c>
      <c r="F619" s="304">
        <f t="shared" ca="1" si="271"/>
        <v>41.151673066390103</v>
      </c>
      <c r="G619" s="306">
        <f t="shared" ca="1" si="272"/>
        <v>164.94359653200158</v>
      </c>
      <c r="H619" s="307">
        <f t="shared" ca="1" si="273"/>
        <v>407.16871602546996</v>
      </c>
      <c r="I619" s="304">
        <f t="shared" ca="1" si="274"/>
        <v>439.30940502878099</v>
      </c>
      <c r="J619" s="306">
        <f t="shared" ca="1" si="275"/>
        <v>494.18845825348336</v>
      </c>
      <c r="K619" s="307">
        <f t="shared" ca="1" si="276"/>
        <v>1304.4313247128759</v>
      </c>
      <c r="L619" s="304">
        <f t="shared" ca="1" si="261"/>
        <v>1394.9062022814092</v>
      </c>
      <c r="M619" s="306">
        <f t="shared" ca="1" si="277"/>
        <v>1.1859020945188095</v>
      </c>
      <c r="N619" s="304">
        <f t="shared" ca="1" si="278"/>
        <v>67.947184931652217</v>
      </c>
      <c r="P619" s="310">
        <f t="shared" ca="1" si="279"/>
        <v>17</v>
      </c>
      <c r="Q619" s="304">
        <f t="shared" ca="1" si="280"/>
        <v>2007.8246627566355</v>
      </c>
      <c r="R619" s="306">
        <f t="shared" ca="1" si="281"/>
        <v>1.2074538232962981</v>
      </c>
      <c r="S619" s="307">
        <f t="shared" ca="1" si="282"/>
        <v>15.978297705563865</v>
      </c>
      <c r="T619" s="304">
        <f t="shared" ca="1" si="262"/>
        <v>156.74710049158153</v>
      </c>
      <c r="U619" s="311">
        <f t="shared" ca="1" si="263"/>
        <v>0</v>
      </c>
      <c r="V619" s="306">
        <f t="shared" ca="1" si="264"/>
        <v>1.0749909855918383</v>
      </c>
      <c r="W619" s="304">
        <f t="shared" ca="1" si="265"/>
        <v>1209.4070128993344</v>
      </c>
      <c r="Y619" s="314" t="str">
        <f t="shared" ca="1" si="283"/>
        <v/>
      </c>
      <c r="Z619" s="315" t="str">
        <f t="shared" ca="1" si="284"/>
        <v/>
      </c>
      <c r="AA619" s="316" t="str">
        <f t="shared" ca="1" si="285"/>
        <v/>
      </c>
      <c r="AC619" s="310" t="e">
        <f t="shared" ca="1" si="286"/>
        <v>#N/A</v>
      </c>
      <c r="AD619" s="323" t="e">
        <f t="shared" ca="1" si="287"/>
        <v>#N/A</v>
      </c>
      <c r="AE619" s="324">
        <f t="shared" ca="1" si="266"/>
        <v>1304.4313247128759</v>
      </c>
      <c r="AG619" s="306">
        <f t="shared" ca="1" si="288"/>
        <v>40.986574712037566</v>
      </c>
      <c r="AH619" s="304">
        <f t="shared" ca="1" si="289"/>
        <v>50.079165677344456</v>
      </c>
    </row>
    <row r="620" spans="1:34" x14ac:dyDescent="0.2">
      <c r="A620" s="347">
        <f t="shared" ca="1" si="267"/>
        <v>0.01</v>
      </c>
      <c r="B620" s="304">
        <f t="shared" ca="1" si="268"/>
        <v>6.1599999999999131</v>
      </c>
      <c r="D620" s="306">
        <f t="shared" ca="1" si="269"/>
        <v>18.674732286550498</v>
      </c>
      <c r="E620" s="307">
        <f t="shared" ca="1" si="270"/>
        <v>36.289193464348337</v>
      </c>
      <c r="F620" s="304">
        <f t="shared" ca="1" si="271"/>
        <v>40.812390131763095</v>
      </c>
      <c r="G620" s="306">
        <f t="shared" ca="1" si="272"/>
        <v>165.13034385486708</v>
      </c>
      <c r="H620" s="307">
        <f t="shared" ca="1" si="273"/>
        <v>407.53160796011343</v>
      </c>
      <c r="I620" s="304">
        <f t="shared" ca="1" si="274"/>
        <v>439.7158650176068</v>
      </c>
      <c r="J620" s="306">
        <f t="shared" ca="1" si="275"/>
        <v>495.83882795541768</v>
      </c>
      <c r="K620" s="307">
        <f t="shared" ca="1" si="276"/>
        <v>1308.5048263328038</v>
      </c>
      <c r="L620" s="304">
        <f t="shared" ca="1" si="261"/>
        <v>1399.3001907540938</v>
      </c>
      <c r="M620" s="306">
        <f t="shared" ca="1" si="277"/>
        <v>1.1858183296656524</v>
      </c>
      <c r="N620" s="304">
        <f t="shared" ca="1" si="278"/>
        <v>67.942385559094788</v>
      </c>
      <c r="P620" s="310">
        <f t="shared" ca="1" si="279"/>
        <v>17</v>
      </c>
      <c r="Q620" s="304">
        <f t="shared" ca="1" si="280"/>
        <v>2003.5383284457853</v>
      </c>
      <c r="R620" s="306">
        <f t="shared" ca="1" si="281"/>
        <v>1.2048761327003195</v>
      </c>
      <c r="S620" s="307">
        <f t="shared" ca="1" si="282"/>
        <v>15.966248944236861</v>
      </c>
      <c r="T620" s="304">
        <f t="shared" ca="1" si="262"/>
        <v>156.62890214296363</v>
      </c>
      <c r="U620" s="311">
        <f t="shared" ca="1" si="263"/>
        <v>0</v>
      </c>
      <c r="V620" s="306">
        <f t="shared" ca="1" si="264"/>
        <v>1.074551301199058</v>
      </c>
      <c r="W620" s="304">
        <f t="shared" ca="1" si="265"/>
        <v>1211.1504171487788</v>
      </c>
      <c r="Y620" s="314" t="str">
        <f t="shared" ca="1" si="283"/>
        <v/>
      </c>
      <c r="Z620" s="315" t="str">
        <f t="shared" ca="1" si="284"/>
        <v/>
      </c>
      <c r="AA620" s="316" t="str">
        <f t="shared" ca="1" si="285"/>
        <v/>
      </c>
      <c r="AC620" s="310" t="e">
        <f t="shared" ca="1" si="286"/>
        <v>#N/A</v>
      </c>
      <c r="AD620" s="323" t="e">
        <f t="shared" ca="1" si="287"/>
        <v>#N/A</v>
      </c>
      <c r="AE620" s="324">
        <f t="shared" ca="1" si="266"/>
        <v>1308.5048263328038</v>
      </c>
      <c r="AG620" s="306">
        <f t="shared" ca="1" si="288"/>
        <v>40.645844618156289</v>
      </c>
      <c r="AH620" s="304">
        <f t="shared" ca="1" si="289"/>
        <v>49.738126864989077</v>
      </c>
    </row>
    <row r="621" spans="1:34" x14ac:dyDescent="0.2">
      <c r="A621" s="347">
        <f t="shared" ca="1" si="267"/>
        <v>0.01</v>
      </c>
      <c r="B621" s="304">
        <f t="shared" ca="1" si="268"/>
        <v>6.1699999999999129</v>
      </c>
      <c r="D621" s="306">
        <f t="shared" ca="1" si="269"/>
        <v>18.550738685191952</v>
      </c>
      <c r="E621" s="307">
        <f t="shared" ca="1" si="270"/>
        <v>35.972090612423401</v>
      </c>
      <c r="F621" s="304">
        <f t="shared" ca="1" si="271"/>
        <v>40.473710094265847</v>
      </c>
      <c r="G621" s="306">
        <f t="shared" ca="1" si="272"/>
        <v>165.315851241719</v>
      </c>
      <c r="H621" s="307">
        <f t="shared" ca="1" si="273"/>
        <v>407.89132886623764</v>
      </c>
      <c r="I621" s="304">
        <f t="shared" ca="1" si="274"/>
        <v>440.11892351504201</v>
      </c>
      <c r="J621" s="306">
        <f t="shared" ca="1" si="275"/>
        <v>497.49105893090064</v>
      </c>
      <c r="K621" s="307">
        <f t="shared" ca="1" si="276"/>
        <v>1312.5819410169356</v>
      </c>
      <c r="L621" s="304">
        <f t="shared" ca="1" si="261"/>
        <v>1403.6982245482734</v>
      </c>
      <c r="M621" s="306">
        <f t="shared" ca="1" si="277"/>
        <v>1.1857346242194573</v>
      </c>
      <c r="N621" s="304">
        <f t="shared" ca="1" si="278"/>
        <v>67.937589590305549</v>
      </c>
      <c r="P621" s="310">
        <f t="shared" ca="1" si="279"/>
        <v>17</v>
      </c>
      <c r="Q621" s="304">
        <f t="shared" ca="1" si="280"/>
        <v>1999.2519941349349</v>
      </c>
      <c r="R621" s="306">
        <f t="shared" ca="1" si="281"/>
        <v>1.2022984421043403</v>
      </c>
      <c r="S621" s="307">
        <f t="shared" ca="1" si="282"/>
        <v>15.954225959815817</v>
      </c>
      <c r="T621" s="304">
        <f t="shared" ca="1" si="262"/>
        <v>156.51095666579317</v>
      </c>
      <c r="U621" s="311">
        <f t="shared" ca="1" si="263"/>
        <v>0</v>
      </c>
      <c r="V621" s="306">
        <f t="shared" ca="1" si="264"/>
        <v>1.0741113951190258</v>
      </c>
      <c r="W621" s="304">
        <f t="shared" ca="1" si="265"/>
        <v>1212.8750607756654</v>
      </c>
      <c r="Y621" s="314" t="str">
        <f t="shared" ca="1" si="283"/>
        <v/>
      </c>
      <c r="Z621" s="315" t="str">
        <f t="shared" ca="1" si="284"/>
        <v/>
      </c>
      <c r="AA621" s="316" t="str">
        <f t="shared" ca="1" si="285"/>
        <v/>
      </c>
      <c r="AC621" s="310" t="e">
        <f t="shared" ca="1" si="286"/>
        <v>#N/A</v>
      </c>
      <c r="AD621" s="323" t="e">
        <f t="shared" ca="1" si="287"/>
        <v>#N/A</v>
      </c>
      <c r="AE621" s="324">
        <f t="shared" ca="1" si="266"/>
        <v>1312.5819410169356</v>
      </c>
      <c r="AG621" s="306">
        <f t="shared" ca="1" si="288"/>
        <v>40.305695556619696</v>
      </c>
      <c r="AH621" s="304">
        <f t="shared" ca="1" si="289"/>
        <v>49.397669242692253</v>
      </c>
    </row>
    <row r="622" spans="1:34" x14ac:dyDescent="0.2">
      <c r="A622" s="347">
        <f t="shared" ca="1" si="267"/>
        <v>0.01</v>
      </c>
      <c r="B622" s="304">
        <f t="shared" ca="1" si="268"/>
        <v>6.1799999999999127</v>
      </c>
      <c r="D622" s="306">
        <f t="shared" ca="1" si="269"/>
        <v>18.426908731393958</v>
      </c>
      <c r="E622" s="307">
        <f t="shared" ca="1" si="270"/>
        <v>35.655551142795545</v>
      </c>
      <c r="F622" s="304">
        <f t="shared" ca="1" si="271"/>
        <v>40.135636193931589</v>
      </c>
      <c r="G622" s="306">
        <f t="shared" ca="1" si="272"/>
        <v>165.50012032903294</v>
      </c>
      <c r="H622" s="307">
        <f t="shared" ca="1" si="273"/>
        <v>408.24788437766557</v>
      </c>
      <c r="I622" s="304">
        <f t="shared" ca="1" si="274"/>
        <v>440.51858635903682</v>
      </c>
      <c r="J622" s="306">
        <f t="shared" ca="1" si="275"/>
        <v>499.14513878875442</v>
      </c>
      <c r="K622" s="307">
        <f t="shared" ca="1" si="276"/>
        <v>1316.6626370831552</v>
      </c>
      <c r="L622" s="304">
        <f t="shared" ca="1" si="261"/>
        <v>1408.1002696779847</v>
      </c>
      <c r="M622" s="306">
        <f t="shared" ca="1" si="277"/>
        <v>1.1856509774395922</v>
      </c>
      <c r="N622" s="304">
        <f t="shared" ca="1" si="278"/>
        <v>67.932796982849425</v>
      </c>
      <c r="P622" s="310">
        <f t="shared" ca="1" si="279"/>
        <v>17</v>
      </c>
      <c r="Q622" s="304">
        <f t="shared" ca="1" si="280"/>
        <v>1994.9656598240845</v>
      </c>
      <c r="R622" s="306">
        <f t="shared" ca="1" si="281"/>
        <v>1.1997207515083614</v>
      </c>
      <c r="S622" s="307">
        <f t="shared" ca="1" si="282"/>
        <v>15.942228752300734</v>
      </c>
      <c r="T622" s="304">
        <f t="shared" ca="1" si="262"/>
        <v>156.39326406007021</v>
      </c>
      <c r="U622" s="311">
        <f t="shared" ca="1" si="263"/>
        <v>0</v>
      </c>
      <c r="V622" s="306">
        <f t="shared" ca="1" si="264"/>
        <v>1.073671271119055</v>
      </c>
      <c r="W622" s="304">
        <f t="shared" ca="1" si="265"/>
        <v>1214.5809478660326</v>
      </c>
      <c r="Y622" s="314" t="str">
        <f t="shared" ca="1" si="283"/>
        <v/>
      </c>
      <c r="Z622" s="315" t="str">
        <f t="shared" ca="1" si="284"/>
        <v/>
      </c>
      <c r="AA622" s="316" t="str">
        <f t="shared" ca="1" si="285"/>
        <v/>
      </c>
      <c r="AC622" s="310" t="e">
        <f t="shared" ca="1" si="286"/>
        <v>#N/A</v>
      </c>
      <c r="AD622" s="323" t="e">
        <f t="shared" ca="1" si="287"/>
        <v>#N/A</v>
      </c>
      <c r="AE622" s="324">
        <f t="shared" ca="1" si="266"/>
        <v>1316.6626370831552</v>
      </c>
      <c r="AG622" s="306">
        <f t="shared" ca="1" si="288"/>
        <v>39.966130288818768</v>
      </c>
      <c r="AH622" s="304">
        <f t="shared" ca="1" si="289"/>
        <v>49.057795569239353</v>
      </c>
    </row>
    <row r="623" spans="1:34" x14ac:dyDescent="0.2">
      <c r="A623" s="347">
        <f t="shared" ca="1" si="267"/>
        <v>0.01</v>
      </c>
      <c r="B623" s="304">
        <f t="shared" ca="1" si="268"/>
        <v>6.1899999999999125</v>
      </c>
      <c r="D623" s="306">
        <f t="shared" ca="1" si="269"/>
        <v>18.303243672712046</v>
      </c>
      <c r="E623" s="307">
        <f t="shared" ca="1" si="270"/>
        <v>35.339577485369119</v>
      </c>
      <c r="F623" s="304">
        <f t="shared" ca="1" si="271"/>
        <v>39.798171638745941</v>
      </c>
      <c r="G623" s="306">
        <f t="shared" ca="1" si="272"/>
        <v>165.68315276576007</v>
      </c>
      <c r="H623" s="307">
        <f t="shared" ca="1" si="273"/>
        <v>408.60128015251928</v>
      </c>
      <c r="I623" s="304">
        <f t="shared" ca="1" si="274"/>
        <v>440.91485941469438</v>
      </c>
      <c r="J623" s="306">
        <f t="shared" ca="1" si="275"/>
        <v>500.80105515422838</v>
      </c>
      <c r="K623" s="307">
        <f t="shared" ca="1" si="276"/>
        <v>1320.7468829058062</v>
      </c>
      <c r="L623" s="304">
        <f t="shared" ca="1" si="261"/>
        <v>1412.5062922157167</v>
      </c>
      <c r="M623" s="306">
        <f t="shared" ca="1" si="277"/>
        <v>1.185567388589752</v>
      </c>
      <c r="N623" s="304">
        <f t="shared" ca="1" si="278"/>
        <v>67.928007694539218</v>
      </c>
      <c r="P623" s="310">
        <f t="shared" ca="1" si="279"/>
        <v>17</v>
      </c>
      <c r="Q623" s="304">
        <f t="shared" ca="1" si="280"/>
        <v>1990.6793255132341</v>
      </c>
      <c r="R623" s="306">
        <f t="shared" ca="1" si="281"/>
        <v>1.1971430609123825</v>
      </c>
      <c r="S623" s="307">
        <f t="shared" ca="1" si="282"/>
        <v>15.930257321691609</v>
      </c>
      <c r="T623" s="304">
        <f t="shared" ca="1" si="262"/>
        <v>156.2758243257947</v>
      </c>
      <c r="U623" s="311">
        <f t="shared" ca="1" si="263"/>
        <v>0</v>
      </c>
      <c r="V623" s="306">
        <f t="shared" ca="1" si="264"/>
        <v>1.0732309329550931</v>
      </c>
      <c r="W623" s="304">
        <f t="shared" ca="1" si="265"/>
        <v>1216.2680832759361</v>
      </c>
      <c r="Y623" s="314" t="str">
        <f t="shared" ca="1" si="283"/>
        <v/>
      </c>
      <c r="Z623" s="315" t="str">
        <f t="shared" ca="1" si="284"/>
        <v/>
      </c>
      <c r="AA623" s="316" t="str">
        <f t="shared" ca="1" si="285"/>
        <v/>
      </c>
      <c r="AC623" s="310" t="e">
        <f t="shared" ca="1" si="286"/>
        <v>#N/A</v>
      </c>
      <c r="AD623" s="323" t="e">
        <f t="shared" ca="1" si="287"/>
        <v>#N/A</v>
      </c>
      <c r="AE623" s="324">
        <f t="shared" ca="1" si="266"/>
        <v>1320.7468829058062</v>
      </c>
      <c r="AG623" s="306">
        <f t="shared" ca="1" si="288"/>
        <v>39.627151530038681</v>
      </c>
      <c r="AH623" s="304">
        <f t="shared" ca="1" si="289"/>
        <v>48.718508557323716</v>
      </c>
    </row>
    <row r="624" spans="1:34" x14ac:dyDescent="0.2">
      <c r="A624" s="347">
        <f t="shared" ca="1" si="267"/>
        <v>0.01</v>
      </c>
      <c r="B624" s="304">
        <f t="shared" ca="1" si="268"/>
        <v>6.1999999999999122</v>
      </c>
      <c r="D624" s="306">
        <f t="shared" ca="1" si="269"/>
        <v>18.179744738955492</v>
      </c>
      <c r="E624" s="307">
        <f t="shared" ca="1" si="270"/>
        <v>35.024172027648419</v>
      </c>
      <c r="F624" s="304">
        <f t="shared" ca="1" si="271"/>
        <v>39.461319605353921</v>
      </c>
      <c r="G624" s="306">
        <f t="shared" ca="1" si="272"/>
        <v>165.86495021314963</v>
      </c>
      <c r="H624" s="307">
        <f t="shared" ca="1" si="273"/>
        <v>408.95152187279575</v>
      </c>
      <c r="I624" s="304">
        <f t="shared" ca="1" si="274"/>
        <v>441.30774857381141</v>
      </c>
      <c r="J624" s="306">
        <f t="shared" ca="1" si="275"/>
        <v>502.45879566912294</v>
      </c>
      <c r="K624" s="307">
        <f t="shared" ca="1" si="276"/>
        <v>1324.8346469159328</v>
      </c>
      <c r="L624" s="304">
        <f t="shared" ca="1" si="261"/>
        <v>1416.9162582926804</v>
      </c>
      <c r="M624" s="306">
        <f t="shared" ca="1" si="277"/>
        <v>1.1854838569379127</v>
      </c>
      <c r="N624" s="304">
        <f t="shared" ca="1" si="278"/>
        <v>67.92322168343307</v>
      </c>
      <c r="P624" s="310">
        <f t="shared" ca="1" si="279"/>
        <v>17</v>
      </c>
      <c r="Q624" s="304">
        <f t="shared" ca="1" si="280"/>
        <v>1986.3929912023837</v>
      </c>
      <c r="R624" s="306">
        <f t="shared" ca="1" si="281"/>
        <v>1.1945653703164034</v>
      </c>
      <c r="S624" s="307">
        <f t="shared" ca="1" si="282"/>
        <v>15.918311667988446</v>
      </c>
      <c r="T624" s="304">
        <f t="shared" ca="1" si="262"/>
        <v>156.15863746296665</v>
      </c>
      <c r="U624" s="311">
        <f t="shared" ca="1" si="263"/>
        <v>0</v>
      </c>
      <c r="V624" s="306">
        <f t="shared" ca="1" si="264"/>
        <v>1.0727903843717044</v>
      </c>
      <c r="W624" s="304">
        <f t="shared" ca="1" si="265"/>
        <v>1217.9364726249848</v>
      </c>
      <c r="Y624" s="314" t="str">
        <f t="shared" ca="1" si="283"/>
        <v/>
      </c>
      <c r="Z624" s="315" t="str">
        <f t="shared" ca="1" si="284"/>
        <v/>
      </c>
      <c r="AA624" s="316" t="str">
        <f t="shared" ca="1" si="285"/>
        <v/>
      </c>
      <c r="AC624" s="310" t="e">
        <f t="shared" ca="1" si="286"/>
        <v>#N/A</v>
      </c>
      <c r="AD624" s="323" t="e">
        <f t="shared" ca="1" si="287"/>
        <v>#N/A</v>
      </c>
      <c r="AE624" s="324">
        <f t="shared" ca="1" si="266"/>
        <v>1324.8346469159328</v>
      </c>
      <c r="AG624" s="306">
        <f t="shared" ca="1" si="288"/>
        <v>39.288761949647196</v>
      </c>
      <c r="AH624" s="304">
        <f t="shared" ca="1" si="289"/>
        <v>48.37981087373484</v>
      </c>
    </row>
    <row r="625" spans="1:34" x14ac:dyDescent="0.2">
      <c r="A625" s="347">
        <f t="shared" ca="1" si="267"/>
        <v>0.01</v>
      </c>
      <c r="B625" s="304">
        <f t="shared" ca="1" si="268"/>
        <v>6.209999999999912</v>
      </c>
      <c r="D625" s="306">
        <f t="shared" ca="1" si="269"/>
        <v>18.056413142252588</v>
      </c>
      <c r="E625" s="307">
        <f t="shared" ca="1" si="270"/>
        <v>34.709337114917091</v>
      </c>
      <c r="F625" s="304">
        <f t="shared" ca="1" si="271"/>
        <v>39.125083239792261</v>
      </c>
      <c r="G625" s="306">
        <f t="shared" ca="1" si="272"/>
        <v>166.04551434457215</v>
      </c>
      <c r="H625" s="307">
        <f t="shared" ca="1" si="273"/>
        <v>409.29861524394494</v>
      </c>
      <c r="I625" s="304">
        <f t="shared" ca="1" si="274"/>
        <v>441.69725975442094</v>
      </c>
      <c r="J625" s="306">
        <f t="shared" ca="1" si="275"/>
        <v>504.11834799191155</v>
      </c>
      <c r="K625" s="307">
        <f t="shared" ca="1" si="276"/>
        <v>1328.9258976015165</v>
      </c>
      <c r="L625" s="304">
        <f t="shared" ca="1" si="261"/>
        <v>1421.3301340990736</v>
      </c>
      <c r="M625" s="306">
        <f t="shared" ca="1" si="277"/>
        <v>1.1854003817562846</v>
      </c>
      <c r="N625" s="304">
        <f t="shared" ca="1" si="278"/>
        <v>67.9184389078317</v>
      </c>
      <c r="P625" s="310">
        <f t="shared" ca="1" si="279"/>
        <v>17</v>
      </c>
      <c r="Q625" s="304">
        <f t="shared" ca="1" si="280"/>
        <v>1982.1066568915335</v>
      </c>
      <c r="R625" s="306">
        <f t="shared" ca="1" si="281"/>
        <v>1.1919876797204247</v>
      </c>
      <c r="S625" s="307">
        <f t="shared" ca="1" si="282"/>
        <v>15.906391791191242</v>
      </c>
      <c r="T625" s="304">
        <f t="shared" ca="1" si="262"/>
        <v>156.04170347158609</v>
      </c>
      <c r="U625" s="311">
        <f t="shared" ca="1" si="263"/>
        <v>0</v>
      </c>
      <c r="V625" s="306">
        <f t="shared" ca="1" si="264"/>
        <v>1.0723496291020524</v>
      </c>
      <c r="W625" s="304">
        <f t="shared" ca="1" si="265"/>
        <v>1219.5861222898725</v>
      </c>
      <c r="Y625" s="314" t="str">
        <f t="shared" ca="1" si="283"/>
        <v/>
      </c>
      <c r="Z625" s="315" t="str">
        <f t="shared" ca="1" si="284"/>
        <v/>
      </c>
      <c r="AA625" s="316" t="str">
        <f t="shared" ca="1" si="285"/>
        <v/>
      </c>
      <c r="AC625" s="310" t="e">
        <f t="shared" ca="1" si="286"/>
        <v>#N/A</v>
      </c>
      <c r="AD625" s="323" t="e">
        <f t="shared" ca="1" si="287"/>
        <v>#N/A</v>
      </c>
      <c r="AE625" s="324">
        <f t="shared" ca="1" si="266"/>
        <v>1328.9258976015165</v>
      </c>
      <c r="AG625" s="306">
        <f t="shared" ca="1" si="288"/>
        <v>38.95096417128515</v>
      </c>
      <c r="AH625" s="304">
        <f t="shared" ca="1" si="289"/>
        <v>48.041705139548768</v>
      </c>
    </row>
    <row r="626" spans="1:34" x14ac:dyDescent="0.2">
      <c r="A626" s="347">
        <f t="shared" ca="1" si="267"/>
        <v>0.01</v>
      </c>
      <c r="B626" s="304">
        <f t="shared" ca="1" si="268"/>
        <v>6.2199999999999118</v>
      </c>
      <c r="D626" s="306">
        <f t="shared" ca="1" si="269"/>
        <v>17.93325007711698</v>
      </c>
      <c r="E626" s="307">
        <f t="shared" ca="1" si="270"/>
        <v>34.395075050419663</v>
      </c>
      <c r="F626" s="304">
        <f t="shared" ca="1" si="271"/>
        <v>38.789465658248211</v>
      </c>
      <c r="G626" s="306">
        <f t="shared" ca="1" si="272"/>
        <v>166.22484684534334</v>
      </c>
      <c r="H626" s="307">
        <f t="shared" ca="1" si="273"/>
        <v>409.64256599444911</v>
      </c>
      <c r="I626" s="304">
        <f t="shared" ca="1" si="274"/>
        <v>442.08339890033693</v>
      </c>
      <c r="J626" s="306">
        <f t="shared" ca="1" si="275"/>
        <v>505.7796997978611</v>
      </c>
      <c r="K626" s="307">
        <f t="shared" ca="1" si="276"/>
        <v>1333.0206035077085</v>
      </c>
      <c r="L626" s="304">
        <f t="shared" ca="1" si="261"/>
        <v>1425.7478858843417</v>
      </c>
      <c r="M626" s="306">
        <f t="shared" ca="1" si="277"/>
        <v>1.1853169623212678</v>
      </c>
      <c r="N626" s="304">
        <f t="shared" ca="1" si="278"/>
        <v>67.913659326275862</v>
      </c>
      <c r="P626" s="310">
        <f t="shared" ca="1" si="279"/>
        <v>17</v>
      </c>
      <c r="Q626" s="304">
        <f t="shared" ca="1" si="280"/>
        <v>1977.8203225806831</v>
      </c>
      <c r="R626" s="306">
        <f t="shared" ca="1" si="281"/>
        <v>1.1894099891244456</v>
      </c>
      <c r="S626" s="307">
        <f t="shared" ca="1" si="282"/>
        <v>15.894497691299998</v>
      </c>
      <c r="T626" s="304">
        <f t="shared" ca="1" si="262"/>
        <v>155.92502235165298</v>
      </c>
      <c r="U626" s="311">
        <f t="shared" ca="1" si="263"/>
        <v>0</v>
      </c>
      <c r="V626" s="306">
        <f t="shared" ca="1" si="264"/>
        <v>1.0719086708678804</v>
      </c>
      <c r="W626" s="304">
        <f t="shared" ca="1" si="265"/>
        <v>1221.2170393978995</v>
      </c>
      <c r="Y626" s="314" t="str">
        <f t="shared" ca="1" si="283"/>
        <v/>
      </c>
      <c r="Z626" s="315" t="str">
        <f t="shared" ca="1" si="284"/>
        <v/>
      </c>
      <c r="AA626" s="316" t="str">
        <f t="shared" ca="1" si="285"/>
        <v/>
      </c>
      <c r="AC626" s="310" t="e">
        <f t="shared" ca="1" si="286"/>
        <v>#N/A</v>
      </c>
      <c r="AD626" s="323" t="e">
        <f t="shared" ca="1" si="287"/>
        <v>#N/A</v>
      </c>
      <c r="AE626" s="324">
        <f t="shared" ca="1" si="266"/>
        <v>1333.0206035077085</v>
      </c>
      <c r="AG626" s="306">
        <f t="shared" ca="1" si="288"/>
        <v>38.613760773059333</v>
      </c>
      <c r="AH626" s="304">
        <f t="shared" ca="1" si="289"/>
        <v>47.704193930320756</v>
      </c>
    </row>
    <row r="627" spans="1:34" x14ac:dyDescent="0.2">
      <c r="A627" s="347">
        <f t="shared" ca="1" si="267"/>
        <v>0.01</v>
      </c>
      <c r="B627" s="304">
        <f t="shared" ca="1" si="268"/>
        <v>6.2299999999999116</v>
      </c>
      <c r="D627" s="306">
        <f t="shared" ca="1" si="269"/>
        <v>17.810256720514825</v>
      </c>
      <c r="E627" s="307">
        <f t="shared" ca="1" si="270"/>
        <v>34.081388095545499</v>
      </c>
      <c r="F627" s="304">
        <f t="shared" ca="1" si="271"/>
        <v>38.454469947846555</v>
      </c>
      <c r="G627" s="306">
        <f t="shared" ca="1" si="272"/>
        <v>166.40294941254848</v>
      </c>
      <c r="H627" s="307">
        <f t="shared" ca="1" si="273"/>
        <v>409.98337987540458</v>
      </c>
      <c r="I627" s="304">
        <f t="shared" ca="1" si="274"/>
        <v>442.46617198070123</v>
      </c>
      <c r="J627" s="306">
        <f t="shared" ca="1" si="275"/>
        <v>507.44283877915058</v>
      </c>
      <c r="K627" s="307">
        <f t="shared" ca="1" si="276"/>
        <v>1337.1187332370578</v>
      </c>
      <c r="L627" s="304">
        <f t="shared" ca="1" si="261"/>
        <v>1430.1694799574339</v>
      </c>
      <c r="M627" s="306">
        <f t="shared" ca="1" si="277"/>
        <v>1.1852335979134057</v>
      </c>
      <c r="N627" s="304">
        <f t="shared" ca="1" si="278"/>
        <v>67.908882897543762</v>
      </c>
      <c r="P627" s="310">
        <f t="shared" ca="1" si="279"/>
        <v>17</v>
      </c>
      <c r="Q627" s="304">
        <f t="shared" ca="1" si="280"/>
        <v>1973.5339882698327</v>
      </c>
      <c r="R627" s="306">
        <f t="shared" ca="1" si="281"/>
        <v>1.1868322985284667</v>
      </c>
      <c r="S627" s="307">
        <f t="shared" ca="1" si="282"/>
        <v>15.882629368314714</v>
      </c>
      <c r="T627" s="304">
        <f t="shared" ca="1" si="262"/>
        <v>155.80859410316734</v>
      </c>
      <c r="U627" s="311">
        <f t="shared" ca="1" si="263"/>
        <v>0</v>
      </c>
      <c r="V627" s="306">
        <f t="shared" ca="1" si="264"/>
        <v>1.0714675133794975</v>
      </c>
      <c r="W627" s="304">
        <f t="shared" ca="1" si="265"/>
        <v>1222.8292318205015</v>
      </c>
      <c r="Y627" s="314" t="str">
        <f t="shared" ca="1" si="283"/>
        <v/>
      </c>
      <c r="Z627" s="315" t="str">
        <f t="shared" ca="1" si="284"/>
        <v/>
      </c>
      <c r="AA627" s="316" t="str">
        <f t="shared" ca="1" si="285"/>
        <v/>
      </c>
      <c r="AC627" s="310" t="e">
        <f t="shared" ca="1" si="286"/>
        <v>#N/A</v>
      </c>
      <c r="AD627" s="323" t="e">
        <f t="shared" ca="1" si="287"/>
        <v>#N/A</v>
      </c>
      <c r="AE627" s="324">
        <f t="shared" ca="1" si="266"/>
        <v>1337.1187332370578</v>
      </c>
      <c r="AG627" s="306">
        <f t="shared" ca="1" si="288"/>
        <v>38.277154287737844</v>
      </c>
      <c r="AH627" s="304">
        <f t="shared" ca="1" si="289"/>
        <v>47.367279776280554</v>
      </c>
    </row>
    <row r="628" spans="1:34" x14ac:dyDescent="0.2">
      <c r="A628" s="347">
        <f t="shared" ca="1" si="267"/>
        <v>0.01</v>
      </c>
      <c r="B628" s="304">
        <f t="shared" ca="1" si="268"/>
        <v>6.2399999999999114</v>
      </c>
      <c r="D628" s="306">
        <f t="shared" ca="1" si="269"/>
        <v>17.687434231932716</v>
      </c>
      <c r="E628" s="307">
        <f t="shared" ca="1" si="270"/>
        <v>33.768278470014103</v>
      </c>
      <c r="F628" s="304">
        <f t="shared" ca="1" si="271"/>
        <v>38.120099167464964</v>
      </c>
      <c r="G628" s="306">
        <f t="shared" ca="1" si="272"/>
        <v>166.57982375486782</v>
      </c>
      <c r="H628" s="307">
        <f t="shared" ca="1" si="273"/>
        <v>410.3210626601047</v>
      </c>
      <c r="I628" s="304">
        <f t="shared" ca="1" si="274"/>
        <v>442.84558498953152</v>
      </c>
      <c r="J628" s="306">
        <f t="shared" ca="1" si="275"/>
        <v>509.10775264498767</v>
      </c>
      <c r="K628" s="307">
        <f t="shared" ca="1" si="276"/>
        <v>1341.2202554497353</v>
      </c>
      <c r="L628" s="304">
        <f t="shared" ca="1" si="261"/>
        <v>1434.5948826870542</v>
      </c>
      <c r="M628" s="306">
        <f t="shared" ca="1" si="277"/>
        <v>1.185150287817341</v>
      </c>
      <c r="N628" s="304">
        <f t="shared" ca="1" si="278"/>
        <v>67.904109580648424</v>
      </c>
      <c r="P628" s="310">
        <f t="shared" ca="1" si="279"/>
        <v>17</v>
      </c>
      <c r="Q628" s="304">
        <f t="shared" ca="1" si="280"/>
        <v>1969.2476539589823</v>
      </c>
      <c r="R628" s="306">
        <f t="shared" ca="1" si="281"/>
        <v>1.1842546079324878</v>
      </c>
      <c r="S628" s="307">
        <f t="shared" ca="1" si="282"/>
        <v>15.870786822235388</v>
      </c>
      <c r="T628" s="304">
        <f t="shared" ca="1" si="262"/>
        <v>155.69241872612918</v>
      </c>
      <c r="U628" s="311">
        <f t="shared" ca="1" si="263"/>
        <v>0</v>
      </c>
      <c r="V628" s="306">
        <f t="shared" ca="1" si="264"/>
        <v>1.07102616033576</v>
      </c>
      <c r="W628" s="304">
        <f t="shared" ca="1" si="265"/>
        <v>1224.4227081667611</v>
      </c>
      <c r="Y628" s="314" t="str">
        <f t="shared" ca="1" si="283"/>
        <v/>
      </c>
      <c r="Z628" s="315" t="str">
        <f t="shared" ca="1" si="284"/>
        <v/>
      </c>
      <c r="AA628" s="316" t="str">
        <f t="shared" ca="1" si="285"/>
        <v/>
      </c>
      <c r="AC628" s="310" t="e">
        <f t="shared" ca="1" si="286"/>
        <v>#N/A</v>
      </c>
      <c r="AD628" s="323" t="e">
        <f t="shared" ca="1" si="287"/>
        <v>#N/A</v>
      </c>
      <c r="AE628" s="324">
        <f t="shared" ca="1" si="266"/>
        <v>1341.2202554497353</v>
      </c>
      <c r="AG628" s="306">
        <f t="shared" ca="1" si="288"/>
        <v>37.94114720294715</v>
      </c>
      <c r="AH628" s="304">
        <f t="shared" ca="1" si="289"/>
        <v>47.030965162529249</v>
      </c>
    </row>
    <row r="629" spans="1:34" x14ac:dyDescent="0.2">
      <c r="A629" s="347">
        <f t="shared" ca="1" si="267"/>
        <v>0.01</v>
      </c>
      <c r="B629" s="304">
        <f t="shared" ca="1" si="268"/>
        <v>6.2499999999999112</v>
      </c>
      <c r="D629" s="306">
        <f t="shared" ca="1" si="269"/>
        <v>17.564783753446612</v>
      </c>
      <c r="E629" s="307">
        <f t="shared" ca="1" si="270"/>
        <v>33.455748352063239</v>
      </c>
      <c r="F629" s="304">
        <f t="shared" ca="1" si="271"/>
        <v>37.786356348580689</v>
      </c>
      <c r="G629" s="306">
        <f t="shared" ca="1" si="272"/>
        <v>166.75547159240227</v>
      </c>
      <c r="H629" s="307">
        <f t="shared" ca="1" si="273"/>
        <v>410.65562014362536</v>
      </c>
      <c r="I629" s="304">
        <f t="shared" ca="1" si="274"/>
        <v>443.2216439452726</v>
      </c>
      <c r="J629" s="306">
        <f t="shared" ca="1" si="275"/>
        <v>510.77442912172404</v>
      </c>
      <c r="K629" s="307">
        <f t="shared" ca="1" si="276"/>
        <v>1345.3251388637539</v>
      </c>
      <c r="L629" s="304">
        <f t="shared" ca="1" si="261"/>
        <v>1439.0240605019089</v>
      </c>
      <c r="M629" s="306">
        <f t="shared" ca="1" si="277"/>
        <v>1.1850670313217719</v>
      </c>
      <c r="N629" s="304">
        <f t="shared" ca="1" si="278"/>
        <v>67.899339334835261</v>
      </c>
      <c r="P629" s="310">
        <f t="shared" ca="1" si="279"/>
        <v>17</v>
      </c>
      <c r="Q629" s="304">
        <f t="shared" ca="1" si="280"/>
        <v>1964.9613196481318</v>
      </c>
      <c r="R629" s="306">
        <f t="shared" ca="1" si="281"/>
        <v>1.1816769173365087</v>
      </c>
      <c r="S629" s="307">
        <f t="shared" ca="1" si="282"/>
        <v>15.858970053062023</v>
      </c>
      <c r="T629" s="304">
        <f t="shared" ca="1" si="262"/>
        <v>155.57649622053844</v>
      </c>
      <c r="U629" s="311">
        <f t="shared" ca="1" si="263"/>
        <v>0</v>
      </c>
      <c r="V629" s="306">
        <f t="shared" ca="1" si="264"/>
        <v>1.0705846154240566</v>
      </c>
      <c r="W629" s="304">
        <f t="shared" ca="1" si="265"/>
        <v>1225.9974777769314</v>
      </c>
      <c r="Y629" s="314" t="str">
        <f t="shared" ca="1" si="283"/>
        <v/>
      </c>
      <c r="Z629" s="315" t="str">
        <f t="shared" ca="1" si="284"/>
        <v/>
      </c>
      <c r="AA629" s="316" t="str">
        <f t="shared" ca="1" si="285"/>
        <v/>
      </c>
      <c r="AC629" s="310" t="e">
        <f t="shared" ca="1" si="286"/>
        <v>#N/A</v>
      </c>
      <c r="AD629" s="323" t="e">
        <f t="shared" ca="1" si="287"/>
        <v>#N/A</v>
      </c>
      <c r="AE629" s="324">
        <f t="shared" ca="1" si="266"/>
        <v>1345.3251388637539</v>
      </c>
      <c r="AG629" s="306">
        <f t="shared" ca="1" si="288"/>
        <v>37.605741961371962</v>
      </c>
      <c r="AH629" s="304">
        <f t="shared" ca="1" si="289"/>
        <v>46.695252529239042</v>
      </c>
    </row>
    <row r="630" spans="1:34" x14ac:dyDescent="0.2">
      <c r="A630" s="347">
        <f t="shared" ca="1" si="267"/>
        <v>0.01</v>
      </c>
      <c r="B630" s="304">
        <f t="shared" ca="1" si="268"/>
        <v>6.259999999999911</v>
      </c>
      <c r="D630" s="306">
        <f t="shared" ca="1" si="269"/>
        <v>17.442306409791389</v>
      </c>
      <c r="E630" s="307">
        <f t="shared" ca="1" si="270"/>
        <v>33.143799878638376</v>
      </c>
      <c r="F630" s="304">
        <f t="shared" ca="1" si="271"/>
        <v>37.453244496148514</v>
      </c>
      <c r="G630" s="306">
        <f t="shared" ca="1" si="272"/>
        <v>166.92989465650018</v>
      </c>
      <c r="H630" s="307">
        <f t="shared" ca="1" si="273"/>
        <v>410.98705814241174</v>
      </c>
      <c r="I630" s="304">
        <f t="shared" ca="1" si="274"/>
        <v>443.59435489034843</v>
      </c>
      <c r="J630" s="306">
        <f t="shared" ca="1" si="275"/>
        <v>512.44285595296856</v>
      </c>
      <c r="K630" s="307">
        <f t="shared" ca="1" si="276"/>
        <v>1349.433352255184</v>
      </c>
      <c r="L630" s="304">
        <f t="shared" ca="1" si="261"/>
        <v>1443.4569798909486</v>
      </c>
      <c r="M630" s="306">
        <f t="shared" ca="1" si="277"/>
        <v>1.1849838277194078</v>
      </c>
      <c r="N630" s="304">
        <f t="shared" ca="1" si="278"/>
        <v>67.894572119579522</v>
      </c>
      <c r="P630" s="310">
        <f t="shared" ca="1" si="279"/>
        <v>17</v>
      </c>
      <c r="Q630" s="304">
        <f t="shared" ca="1" si="280"/>
        <v>1960.6749853372817</v>
      </c>
      <c r="R630" s="306">
        <f t="shared" ca="1" si="281"/>
        <v>1.17909922674053</v>
      </c>
      <c r="S630" s="307">
        <f t="shared" ca="1" si="282"/>
        <v>15.847179060794618</v>
      </c>
      <c r="T630" s="304">
        <f t="shared" ca="1" si="262"/>
        <v>155.4608265863952</v>
      </c>
      <c r="U630" s="311">
        <f t="shared" ca="1" si="263"/>
        <v>0</v>
      </c>
      <c r="V630" s="306">
        <f t="shared" ca="1" si="264"/>
        <v>1.0701428823202952</v>
      </c>
      <c r="W630" s="304">
        <f t="shared" ca="1" si="265"/>
        <v>1227.5535507159489</v>
      </c>
      <c r="Y630" s="314" t="str">
        <f t="shared" ca="1" si="283"/>
        <v/>
      </c>
      <c r="Z630" s="315" t="str">
        <f t="shared" ca="1" si="284"/>
        <v/>
      </c>
      <c r="AA630" s="316" t="str">
        <f t="shared" ca="1" si="285"/>
        <v/>
      </c>
      <c r="AC630" s="310" t="e">
        <f t="shared" ca="1" si="286"/>
        <v>#N/A</v>
      </c>
      <c r="AD630" s="323" t="e">
        <f t="shared" ca="1" si="287"/>
        <v>#N/A</v>
      </c>
      <c r="AE630" s="324">
        <f t="shared" ca="1" si="266"/>
        <v>1349.433352255184</v>
      </c>
      <c r="AG630" s="306">
        <f t="shared" ca="1" si="288"/>
        <v>37.270940960956636</v>
      </c>
      <c r="AH630" s="304">
        <f t="shared" ca="1" si="289"/>
        <v>46.360144271854502</v>
      </c>
    </row>
    <row r="631" spans="1:34" x14ac:dyDescent="0.2">
      <c r="A631" s="347">
        <f t="shared" ca="1" si="267"/>
        <v>0.01</v>
      </c>
      <c r="B631" s="304">
        <f t="shared" ca="1" si="268"/>
        <v>6.2699999999999108</v>
      </c>
      <c r="D631" s="306">
        <f t="shared" ca="1" si="269"/>
        <v>17.320003308431303</v>
      </c>
      <c r="E631" s="307">
        <f t="shared" ca="1" si="270"/>
        <v>32.832435145584249</v>
      </c>
      <c r="F631" s="304">
        <f t="shared" ca="1" si="271"/>
        <v>37.120766589512499</v>
      </c>
      <c r="G631" s="306">
        <f t="shared" ca="1" si="272"/>
        <v>167.10309468958448</v>
      </c>
      <c r="H631" s="307">
        <f t="shared" ca="1" si="273"/>
        <v>411.31538249386756</v>
      </c>
      <c r="I631" s="304">
        <f t="shared" ca="1" si="274"/>
        <v>443.96372389071701</v>
      </c>
      <c r="J631" s="306">
        <f t="shared" ca="1" si="275"/>
        <v>514.11302089969899</v>
      </c>
      <c r="K631" s="307">
        <f t="shared" ca="1" si="276"/>
        <v>1353.5448644583653</v>
      </c>
      <c r="L631" s="304">
        <f t="shared" ca="1" si="261"/>
        <v>1447.8936074036064</v>
      </c>
      <c r="M631" s="306">
        <f t="shared" ca="1" si="277"/>
        <v>1.1849006763069263</v>
      </c>
      <c r="N631" s="304">
        <f t="shared" ca="1" si="278"/>
        <v>67.889807894583782</v>
      </c>
      <c r="P631" s="310">
        <f t="shared" ca="1" si="279"/>
        <v>17</v>
      </c>
      <c r="Q631" s="304">
        <f t="shared" ca="1" si="280"/>
        <v>1956.3886510264313</v>
      </c>
      <c r="R631" s="306">
        <f t="shared" ca="1" si="281"/>
        <v>1.1765215361445509</v>
      </c>
      <c r="S631" s="307">
        <f t="shared" ca="1" si="282"/>
        <v>15.835413845433173</v>
      </c>
      <c r="T631" s="304">
        <f t="shared" ca="1" si="262"/>
        <v>155.34540982369944</v>
      </c>
      <c r="U631" s="311">
        <f t="shared" ca="1" si="263"/>
        <v>0</v>
      </c>
      <c r="V631" s="306">
        <f t="shared" ca="1" si="264"/>
        <v>1.0697009646888851</v>
      </c>
      <c r="W631" s="304">
        <f t="shared" ca="1" si="265"/>
        <v>1229.0909377669473</v>
      </c>
      <c r="Y631" s="314" t="str">
        <f t="shared" ca="1" si="283"/>
        <v/>
      </c>
      <c r="Z631" s="315" t="str">
        <f t="shared" ca="1" si="284"/>
        <v/>
      </c>
      <c r="AA631" s="316" t="str">
        <f t="shared" ca="1" si="285"/>
        <v/>
      </c>
      <c r="AC631" s="310" t="e">
        <f t="shared" ca="1" si="286"/>
        <v>#N/A</v>
      </c>
      <c r="AD631" s="323" t="e">
        <f t="shared" ca="1" si="287"/>
        <v>#N/A</v>
      </c>
      <c r="AE631" s="324">
        <f t="shared" ca="1" si="266"/>
        <v>1353.5448644583653</v>
      </c>
      <c r="AG631" s="306">
        <f t="shared" ca="1" si="288"/>
        <v>36.936746555108982</v>
      </c>
      <c r="AH631" s="304">
        <f t="shared" ca="1" si="289"/>
        <v>46.025642741296181</v>
      </c>
    </row>
    <row r="632" spans="1:34" x14ac:dyDescent="0.2">
      <c r="A632" s="347">
        <f t="shared" ca="1" si="267"/>
        <v>0.01</v>
      </c>
      <c r="B632" s="304">
        <f t="shared" ca="1" si="268"/>
        <v>6.2799999999999105</v>
      </c>
      <c r="D632" s="306">
        <f t="shared" ca="1" si="269"/>
        <v>17.197875539631326</v>
      </c>
      <c r="E632" s="307">
        <f t="shared" ca="1" si="270"/>
        <v>32.521656207838568</v>
      </c>
      <c r="F632" s="304">
        <f t="shared" ca="1" si="271"/>
        <v>36.788925583353127</v>
      </c>
      <c r="G632" s="306">
        <f t="shared" ca="1" si="272"/>
        <v>167.27507344498079</v>
      </c>
      <c r="H632" s="307">
        <f t="shared" ca="1" si="273"/>
        <v>411.64059905594593</v>
      </c>
      <c r="I632" s="304">
        <f t="shared" ca="1" si="274"/>
        <v>444.32975703542718</v>
      </c>
      <c r="J632" s="306">
        <f t="shared" ca="1" si="275"/>
        <v>515.78491174037185</v>
      </c>
      <c r="K632" s="307">
        <f t="shared" ca="1" si="276"/>
        <v>1357.6596443661144</v>
      </c>
      <c r="L632" s="304">
        <f t="shared" ca="1" si="261"/>
        <v>1452.333909650032</v>
      </c>
      <c r="M632" s="306">
        <f t="shared" ca="1" si="277"/>
        <v>1.1848175763849309</v>
      </c>
      <c r="N632" s="304">
        <f t="shared" ca="1" si="278"/>
        <v>67.885046619775579</v>
      </c>
      <c r="P632" s="310">
        <f t="shared" ca="1" si="279"/>
        <v>17</v>
      </c>
      <c r="Q632" s="304">
        <f t="shared" ca="1" si="280"/>
        <v>1952.1023167155809</v>
      </c>
      <c r="R632" s="306">
        <f t="shared" ca="1" si="281"/>
        <v>1.173943845548572</v>
      </c>
      <c r="S632" s="307">
        <f t="shared" ca="1" si="282"/>
        <v>15.823674406977688</v>
      </c>
      <c r="T632" s="304">
        <f t="shared" ca="1" si="262"/>
        <v>155.23024593245111</v>
      </c>
      <c r="U632" s="311">
        <f t="shared" ca="1" si="263"/>
        <v>0</v>
      </c>
      <c r="V632" s="306">
        <f t="shared" ca="1" si="264"/>
        <v>1.0692588661827278</v>
      </c>
      <c r="W632" s="304">
        <f t="shared" ca="1" si="265"/>
        <v>1230.6096504247787</v>
      </c>
      <c r="Y632" s="314" t="str">
        <f t="shared" ca="1" si="283"/>
        <v/>
      </c>
      <c r="Z632" s="315" t="str">
        <f t="shared" ca="1" si="284"/>
        <v/>
      </c>
      <c r="AA632" s="316" t="str">
        <f t="shared" ca="1" si="285"/>
        <v/>
      </c>
      <c r="AC632" s="310" t="e">
        <f t="shared" ca="1" si="286"/>
        <v>#N/A</v>
      </c>
      <c r="AD632" s="323" t="e">
        <f t="shared" ca="1" si="287"/>
        <v>#N/A</v>
      </c>
      <c r="AE632" s="324">
        <f t="shared" ca="1" si="266"/>
        <v>1357.6596443661144</v>
      </c>
      <c r="AG632" s="306">
        <f t="shared" ca="1" si="288"/>
        <v>36.603161052906181</v>
      </c>
      <c r="AH632" s="304">
        <f t="shared" ca="1" si="289"/>
        <v>45.691750244166478</v>
      </c>
    </row>
    <row r="633" spans="1:34" x14ac:dyDescent="0.2">
      <c r="A633" s="347">
        <f t="shared" ca="1" si="267"/>
        <v>0.01</v>
      </c>
      <c r="B633" s="304">
        <f t="shared" ca="1" si="268"/>
        <v>6.2899999999999103</v>
      </c>
      <c r="D633" s="306">
        <f t="shared" ca="1" si="269"/>
        <v>17.075924176528961</v>
      </c>
      <c r="E633" s="307">
        <f t="shared" ca="1" si="270"/>
        <v>32.21146507962694</v>
      </c>
      <c r="F633" s="304">
        <f t="shared" ca="1" si="271"/>
        <v>36.457724408670821</v>
      </c>
      <c r="G633" s="306">
        <f t="shared" ca="1" si="272"/>
        <v>167.44583268674609</v>
      </c>
      <c r="H633" s="307">
        <f t="shared" ca="1" si="273"/>
        <v>411.96271370674219</v>
      </c>
      <c r="I633" s="304">
        <f t="shared" ca="1" si="274"/>
        <v>444.69246043617716</v>
      </c>
      <c r="J633" s="306">
        <f t="shared" ca="1" si="275"/>
        <v>517.45851627103048</v>
      </c>
      <c r="K633" s="307">
        <f t="shared" ca="1" si="276"/>
        <v>1361.7776609299278</v>
      </c>
      <c r="L633" s="304">
        <f t="shared" ca="1" si="261"/>
        <v>1456.77785330132</v>
      </c>
      <c r="M633" s="306">
        <f t="shared" ca="1" si="277"/>
        <v>1.184734527257908</v>
      </c>
      <c r="N633" s="304">
        <f t="shared" ca="1" si="278"/>
        <v>67.880288255304919</v>
      </c>
      <c r="P633" s="310">
        <f t="shared" ca="1" si="279"/>
        <v>17</v>
      </c>
      <c r="Q633" s="304">
        <f t="shared" ca="1" si="280"/>
        <v>1947.8159824047304</v>
      </c>
      <c r="R633" s="306">
        <f t="shared" ca="1" si="281"/>
        <v>1.1713661549525931</v>
      </c>
      <c r="S633" s="307">
        <f t="shared" ca="1" si="282"/>
        <v>15.811960745428161</v>
      </c>
      <c r="T633" s="304">
        <f t="shared" ca="1" si="262"/>
        <v>155.11533491265027</v>
      </c>
      <c r="U633" s="311">
        <f t="shared" ca="1" si="263"/>
        <v>0</v>
      </c>
      <c r="V633" s="306">
        <f t="shared" ca="1" si="264"/>
        <v>1.0688165904431999</v>
      </c>
      <c r="W633" s="304">
        <f t="shared" ca="1" si="265"/>
        <v>1232.1097008895251</v>
      </c>
      <c r="Y633" s="314" t="str">
        <f t="shared" ca="1" si="283"/>
        <v/>
      </c>
      <c r="Z633" s="315" t="str">
        <f t="shared" ca="1" si="284"/>
        <v/>
      </c>
      <c r="AA633" s="316" t="str">
        <f t="shared" ca="1" si="285"/>
        <v/>
      </c>
      <c r="AC633" s="310" t="e">
        <f t="shared" ca="1" si="286"/>
        <v>#N/A</v>
      </c>
      <c r="AD633" s="323" t="e">
        <f t="shared" ca="1" si="287"/>
        <v>#N/A</v>
      </c>
      <c r="AE633" s="324">
        <f t="shared" ca="1" si="266"/>
        <v>1361.7776609299278</v>
      </c>
      <c r="AG633" s="306">
        <f t="shared" ca="1" si="288"/>
        <v>36.270186719302195</v>
      </c>
      <c r="AH633" s="304">
        <f t="shared" ca="1" si="289"/>
        <v>45.358469042956827</v>
      </c>
    </row>
    <row r="634" spans="1:34" x14ac:dyDescent="0.2">
      <c r="A634" s="347">
        <f t="shared" ca="1" si="267"/>
        <v>0.01</v>
      </c>
      <c r="B634" s="304">
        <f t="shared" ca="1" si="268"/>
        <v>6.2999999999999101</v>
      </c>
      <c r="D634" s="306">
        <f t="shared" ca="1" si="269"/>
        <v>16.954150275207187</v>
      </c>
      <c r="E634" s="307">
        <f t="shared" ca="1" si="270"/>
        <v>31.901863734660189</v>
      </c>
      <c r="F634" s="304">
        <f t="shared" ca="1" si="271"/>
        <v>36.127165973808893</v>
      </c>
      <c r="G634" s="306">
        <f t="shared" ca="1" si="272"/>
        <v>167.61537418949817</v>
      </c>
      <c r="H634" s="307">
        <f t="shared" ca="1" si="273"/>
        <v>412.28173234408877</v>
      </c>
      <c r="I634" s="304">
        <f t="shared" ca="1" si="274"/>
        <v>445.05184022687553</v>
      </c>
      <c r="J634" s="306">
        <f t="shared" ca="1" si="275"/>
        <v>519.13382230541174</v>
      </c>
      <c r="K634" s="307">
        <f t="shared" ca="1" si="276"/>
        <v>1365.8988831601821</v>
      </c>
      <c r="L634" s="304">
        <f t="shared" ca="1" si="261"/>
        <v>1461.2254050897347</v>
      </c>
      <c r="M634" s="306">
        <f t="shared" ca="1" si="277"/>
        <v>1.1846515282341856</v>
      </c>
      <c r="N634" s="304">
        <f t="shared" ca="1" si="278"/>
        <v>67.875532761541919</v>
      </c>
      <c r="P634" s="310">
        <f t="shared" ca="1" si="279"/>
        <v>17</v>
      </c>
      <c r="Q634" s="304">
        <f t="shared" ca="1" si="280"/>
        <v>1943.5296480938803</v>
      </c>
      <c r="R634" s="306">
        <f t="shared" ca="1" si="281"/>
        <v>1.1687884643566142</v>
      </c>
      <c r="S634" s="307">
        <f t="shared" ca="1" si="282"/>
        <v>15.800272860784595</v>
      </c>
      <c r="T634" s="304">
        <f t="shared" ca="1" si="262"/>
        <v>155.00067676429688</v>
      </c>
      <c r="U634" s="311">
        <f t="shared" ca="1" si="263"/>
        <v>0</v>
      </c>
      <c r="V634" s="306">
        <f t="shared" ca="1" si="264"/>
        <v>1.0683741411001437</v>
      </c>
      <c r="W634" s="304">
        <f t="shared" ca="1" si="265"/>
        <v>1233.5911020600197</v>
      </c>
      <c r="Y634" s="314" t="str">
        <f t="shared" ca="1" si="283"/>
        <v/>
      </c>
      <c r="Z634" s="315" t="str">
        <f t="shared" ca="1" si="284"/>
        <v/>
      </c>
      <c r="AA634" s="316" t="str">
        <f t="shared" ca="1" si="285"/>
        <v/>
      </c>
      <c r="AC634" s="310" t="e">
        <f t="shared" ca="1" si="286"/>
        <v>#N/A</v>
      </c>
      <c r="AD634" s="323" t="e">
        <f t="shared" ca="1" si="287"/>
        <v>#N/A</v>
      </c>
      <c r="AE634" s="324">
        <f t="shared" ca="1" si="266"/>
        <v>1365.8988831601821</v>
      </c>
      <c r="AG634" s="306">
        <f t="shared" ca="1" si="288"/>
        <v>35.937825775337757</v>
      </c>
      <c r="AH634" s="304">
        <f t="shared" ca="1" si="289"/>
        <v>45.025801356257595</v>
      </c>
    </row>
    <row r="635" spans="1:34" x14ac:dyDescent="0.2">
      <c r="A635" s="347">
        <f t="shared" ca="1" si="267"/>
        <v>0.01</v>
      </c>
      <c r="B635" s="304">
        <f t="shared" ca="1" si="268"/>
        <v>6.3099999999999099</v>
      </c>
      <c r="D635" s="306">
        <f t="shared" ca="1" si="269"/>
        <v>16.832554874767833</v>
      </c>
      <c r="E635" s="307">
        <f t="shared" ca="1" si="270"/>
        <v>31.592854106333071</v>
      </c>
      <c r="F635" s="304">
        <f t="shared" ca="1" si="271"/>
        <v>35.797253165516999</v>
      </c>
      <c r="G635" s="306">
        <f t="shared" ca="1" si="272"/>
        <v>167.78369973824584</v>
      </c>
      <c r="H635" s="307">
        <f t="shared" ca="1" si="273"/>
        <v>412.5976608851521</v>
      </c>
      <c r="I635" s="304">
        <f t="shared" ca="1" si="274"/>
        <v>445.40790256320423</v>
      </c>
      <c r="J635" s="306">
        <f t="shared" ca="1" si="275"/>
        <v>520.81081767505043</v>
      </c>
      <c r="K635" s="307">
        <f t="shared" ca="1" si="276"/>
        <v>1370.0232801263282</v>
      </c>
      <c r="L635" s="304">
        <f t="shared" ca="1" si="261"/>
        <v>1465.6765318089317</v>
      </c>
      <c r="M635" s="306">
        <f t="shared" ca="1" si="277"/>
        <v>1.1845685786258924</v>
      </c>
      <c r="N635" s="304">
        <f t="shared" ca="1" si="278"/>
        <v>67.870780099074452</v>
      </c>
      <c r="P635" s="310">
        <f t="shared" ca="1" si="279"/>
        <v>17</v>
      </c>
      <c r="Q635" s="304">
        <f t="shared" ca="1" si="280"/>
        <v>1939.2433137830299</v>
      </c>
      <c r="R635" s="306">
        <f t="shared" ca="1" si="281"/>
        <v>1.1662107737606353</v>
      </c>
      <c r="S635" s="307">
        <f t="shared" ca="1" si="282"/>
        <v>15.788610753046989</v>
      </c>
      <c r="T635" s="304">
        <f t="shared" ca="1" si="262"/>
        <v>154.88627148739096</v>
      </c>
      <c r="U635" s="311">
        <f t="shared" ca="1" si="263"/>
        <v>0</v>
      </c>
      <c r="V635" s="306">
        <f t="shared" ca="1" si="264"/>
        <v>1.0679315217718539</v>
      </c>
      <c r="W635" s="304">
        <f t="shared" ca="1" si="265"/>
        <v>1235.0538675273688</v>
      </c>
      <c r="Y635" s="314" t="str">
        <f t="shared" ca="1" si="283"/>
        <v/>
      </c>
      <c r="Z635" s="315" t="str">
        <f t="shared" ca="1" si="284"/>
        <v/>
      </c>
      <c r="AA635" s="316" t="str">
        <f t="shared" ca="1" si="285"/>
        <v/>
      </c>
      <c r="AC635" s="310" t="e">
        <f t="shared" ca="1" si="286"/>
        <v>#N/A</v>
      </c>
      <c r="AD635" s="323" t="e">
        <f t="shared" ca="1" si="287"/>
        <v>#N/A</v>
      </c>
      <c r="AE635" s="324">
        <f t="shared" ca="1" si="266"/>
        <v>1370.0232801263282</v>
      </c>
      <c r="AG635" s="306">
        <f t="shared" ca="1" si="288"/>
        <v>35.606080398351757</v>
      </c>
      <c r="AH635" s="304">
        <f t="shared" ca="1" si="289"/>
        <v>44.693749358969335</v>
      </c>
    </row>
    <row r="636" spans="1:34" x14ac:dyDescent="0.2">
      <c r="A636" s="347">
        <f t="shared" ca="1" si="267"/>
        <v>0.01</v>
      </c>
      <c r="B636" s="304">
        <f t="shared" ca="1" si="268"/>
        <v>6.3199999999999097</v>
      </c>
      <c r="D636" s="306">
        <f t="shared" ca="1" si="269"/>
        <v>16.711138997405822</v>
      </c>
      <c r="E636" s="307">
        <f t="shared" ca="1" si="270"/>
        <v>31.284438087924677</v>
      </c>
      <c r="F636" s="304">
        <f t="shared" ca="1" si="271"/>
        <v>35.467988850057594</v>
      </c>
      <c r="G636" s="306">
        <f t="shared" ca="1" si="272"/>
        <v>167.9508111282199</v>
      </c>
      <c r="H636" s="307">
        <f t="shared" ca="1" si="273"/>
        <v>412.91050526603135</v>
      </c>
      <c r="I636" s="304">
        <f t="shared" ca="1" si="274"/>
        <v>445.76065362218355</v>
      </c>
      <c r="J636" s="306">
        <f t="shared" ca="1" si="275"/>
        <v>522.4894902293828</v>
      </c>
      <c r="K636" s="307">
        <f t="shared" ca="1" si="276"/>
        <v>1374.1508209570841</v>
      </c>
      <c r="L636" s="304">
        <f t="shared" ca="1" si="261"/>
        <v>1470.131200314172</v>
      </c>
      <c r="M636" s="306">
        <f t="shared" ca="1" si="277"/>
        <v>1.1844856777489157</v>
      </c>
      <c r="N636" s="304">
        <f t="shared" ca="1" si="278"/>
        <v>67.866030228705753</v>
      </c>
      <c r="P636" s="310">
        <f t="shared" ca="1" si="279"/>
        <v>17</v>
      </c>
      <c r="Q636" s="304">
        <f t="shared" ca="1" si="280"/>
        <v>1934.9569794721795</v>
      </c>
      <c r="R636" s="306">
        <f t="shared" ca="1" si="281"/>
        <v>1.1636330831646562</v>
      </c>
      <c r="S636" s="307">
        <f t="shared" ca="1" si="282"/>
        <v>15.776974422215343</v>
      </c>
      <c r="T636" s="304">
        <f t="shared" ca="1" si="262"/>
        <v>154.77211908193252</v>
      </c>
      <c r="U636" s="311">
        <f t="shared" ca="1" si="263"/>
        <v>0</v>
      </c>
      <c r="V636" s="306">
        <f t="shared" ca="1" si="264"/>
        <v>1.067488736065066</v>
      </c>
      <c r="W636" s="304">
        <f t="shared" ca="1" si="265"/>
        <v>1236.4980115684737</v>
      </c>
      <c r="Y636" s="314" t="str">
        <f t="shared" ca="1" si="283"/>
        <v/>
      </c>
      <c r="Z636" s="315" t="str">
        <f t="shared" ca="1" si="284"/>
        <v/>
      </c>
      <c r="AA636" s="316" t="str">
        <f t="shared" ca="1" si="285"/>
        <v/>
      </c>
      <c r="AC636" s="310" t="e">
        <f t="shared" ca="1" si="286"/>
        <v>#N/A</v>
      </c>
      <c r="AD636" s="323" t="e">
        <f t="shared" ca="1" si="287"/>
        <v>#N/A</v>
      </c>
      <c r="AE636" s="324">
        <f t="shared" ca="1" si="266"/>
        <v>1374.1508209570841</v>
      </c>
      <c r="AG636" s="306">
        <f t="shared" ca="1" si="288"/>
        <v>35.274952722194655</v>
      </c>
      <c r="AH636" s="304">
        <f t="shared" ca="1" si="289"/>
        <v>44.362315182516028</v>
      </c>
    </row>
    <row r="637" spans="1:34" x14ac:dyDescent="0.2">
      <c r="A637" s="347">
        <f t="shared" ca="1" si="267"/>
        <v>0.01</v>
      </c>
      <c r="B637" s="304">
        <f t="shared" ca="1" si="268"/>
        <v>6.3299999999999095</v>
      </c>
      <c r="D637" s="306">
        <f t="shared" ca="1" si="269"/>
        <v>16.58990364848415</v>
      </c>
      <c r="E637" s="307">
        <f t="shared" ca="1" si="270"/>
        <v>30.976617532800788</v>
      </c>
      <c r="F637" s="304">
        <f t="shared" ca="1" si="271"/>
        <v>35.139375874357938</v>
      </c>
      <c r="G637" s="306">
        <f t="shared" ca="1" si="272"/>
        <v>168.11671016470473</v>
      </c>
      <c r="H637" s="307">
        <f t="shared" ca="1" si="273"/>
        <v>413.22027144135939</v>
      </c>
      <c r="I637" s="304">
        <f t="shared" ca="1" si="274"/>
        <v>446.11009960173959</v>
      </c>
      <c r="J637" s="306">
        <f t="shared" ca="1" si="275"/>
        <v>524.1698278358474</v>
      </c>
      <c r="K637" s="307">
        <f t="shared" ca="1" si="276"/>
        <v>1378.2814748406211</v>
      </c>
      <c r="L637" s="304">
        <f t="shared" ca="1" si="261"/>
        <v>1474.5893775225356</v>
      </c>
      <c r="M637" s="306">
        <f t="shared" ca="1" si="277"/>
        <v>1.184402824922862</v>
      </c>
      <c r="N637" s="304">
        <f t="shared" ca="1" si="278"/>
        <v>67.861283111452138</v>
      </c>
      <c r="P637" s="310">
        <f t="shared" ca="1" si="279"/>
        <v>17</v>
      </c>
      <c r="Q637" s="304">
        <f t="shared" ca="1" si="280"/>
        <v>1930.670645161329</v>
      </c>
      <c r="R637" s="306">
        <f t="shared" ca="1" si="281"/>
        <v>1.1610553925686773</v>
      </c>
      <c r="S637" s="307">
        <f t="shared" ca="1" si="282"/>
        <v>15.765363868289656</v>
      </c>
      <c r="T637" s="304">
        <f t="shared" ca="1" si="262"/>
        <v>154.65821954792153</v>
      </c>
      <c r="U637" s="311">
        <f t="shared" ca="1" si="263"/>
        <v>0</v>
      </c>
      <c r="V637" s="306">
        <f t="shared" ca="1" si="264"/>
        <v>1.0670457875749486</v>
      </c>
      <c r="W637" s="304">
        <f t="shared" ca="1" si="265"/>
        <v>1237.9235491395627</v>
      </c>
      <c r="Y637" s="314" t="str">
        <f t="shared" ca="1" si="283"/>
        <v/>
      </c>
      <c r="Z637" s="315" t="str">
        <f t="shared" ca="1" si="284"/>
        <v/>
      </c>
      <c r="AA637" s="316" t="str">
        <f t="shared" ca="1" si="285"/>
        <v/>
      </c>
      <c r="AC637" s="310" t="e">
        <f t="shared" ca="1" si="286"/>
        <v>#N/A</v>
      </c>
      <c r="AD637" s="323" t="e">
        <f t="shared" ca="1" si="287"/>
        <v>#N/A</v>
      </c>
      <c r="AE637" s="324">
        <f t="shared" ca="1" si="266"/>
        <v>1378.2814748406211</v>
      </c>
      <c r="AG637" s="306">
        <f t="shared" ca="1" si="288"/>
        <v>34.944444837443847</v>
      </c>
      <c r="AH637" s="304">
        <f t="shared" ca="1" si="289"/>
        <v>44.031500915060349</v>
      </c>
    </row>
    <row r="638" spans="1:34" x14ac:dyDescent="0.2">
      <c r="A638" s="347">
        <f t="shared" ca="1" si="267"/>
        <v>0.01</v>
      </c>
      <c r="B638" s="304">
        <f t="shared" ca="1" si="268"/>
        <v>6.3399999999999093</v>
      </c>
      <c r="D638" s="306">
        <f t="shared" ca="1" si="269"/>
        <v>16.468849816609438</v>
      </c>
      <c r="E638" s="307">
        <f t="shared" ca="1" si="270"/>
        <v>30.669394254617444</v>
      </c>
      <c r="F638" s="304">
        <f t="shared" ca="1" si="271"/>
        <v>34.811417067209405</v>
      </c>
      <c r="G638" s="306">
        <f t="shared" ca="1" si="272"/>
        <v>168.28139866287083</v>
      </c>
      <c r="H638" s="307">
        <f t="shared" ca="1" si="273"/>
        <v>413.52696538390558</v>
      </c>
      <c r="I638" s="304">
        <f t="shared" ca="1" si="274"/>
        <v>446.45624672027373</v>
      </c>
      <c r="J638" s="306">
        <f t="shared" ca="1" si="275"/>
        <v>525.85181837998527</v>
      </c>
      <c r="K638" s="307">
        <f t="shared" ca="1" si="276"/>
        <v>1382.4152110247474</v>
      </c>
      <c r="L638" s="304">
        <f t="shared" ca="1" si="261"/>
        <v>1479.0510304131274</v>
      </c>
      <c r="M638" s="306">
        <f t="shared" ca="1" si="277"/>
        <v>1.1843200194710164</v>
      </c>
      <c r="N638" s="304">
        <f t="shared" ca="1" si="278"/>
        <v>67.856538708540725</v>
      </c>
      <c r="P638" s="310">
        <f t="shared" ca="1" si="279"/>
        <v>17</v>
      </c>
      <c r="Q638" s="304">
        <f t="shared" ca="1" si="280"/>
        <v>1926.3843108504786</v>
      </c>
      <c r="R638" s="306">
        <f t="shared" ca="1" si="281"/>
        <v>1.1584777019726984</v>
      </c>
      <c r="S638" s="307">
        <f t="shared" ca="1" si="282"/>
        <v>15.753779091269928</v>
      </c>
      <c r="T638" s="304">
        <f t="shared" ca="1" si="262"/>
        <v>154.54457288535801</v>
      </c>
      <c r="U638" s="311">
        <f t="shared" ca="1" si="263"/>
        <v>0</v>
      </c>
      <c r="V638" s="306">
        <f t="shared" ca="1" si="264"/>
        <v>1.0666026798850887</v>
      </c>
      <c r="W638" s="304">
        <f t="shared" ca="1" si="265"/>
        <v>1239.3304958697231</v>
      </c>
      <c r="Y638" s="314" t="str">
        <f t="shared" ca="1" si="283"/>
        <v/>
      </c>
      <c r="Z638" s="315" t="str">
        <f t="shared" ca="1" si="284"/>
        <v/>
      </c>
      <c r="AA638" s="316" t="str">
        <f t="shared" ca="1" si="285"/>
        <v/>
      </c>
      <c r="AC638" s="310" t="e">
        <f t="shared" ca="1" si="286"/>
        <v>#N/A</v>
      </c>
      <c r="AD638" s="323" t="e">
        <f t="shared" ca="1" si="287"/>
        <v>#N/A</v>
      </c>
      <c r="AE638" s="324">
        <f t="shared" ca="1" si="266"/>
        <v>1382.4152110247474</v>
      </c>
      <c r="AG638" s="306">
        <f t="shared" ca="1" si="288"/>
        <v>34.614558791620439</v>
      </c>
      <c r="AH638" s="304">
        <f t="shared" ca="1" si="289"/>
        <v>43.701308601720299</v>
      </c>
    </row>
    <row r="639" spans="1:34" x14ac:dyDescent="0.2">
      <c r="A639" s="347">
        <f t="shared" ca="1" si="267"/>
        <v>0.01</v>
      </c>
      <c r="B639" s="304">
        <f t="shared" ca="1" si="268"/>
        <v>6.3499999999999091</v>
      </c>
      <c r="D639" s="306">
        <f t="shared" ca="1" si="269"/>
        <v>16.34797847370826</v>
      </c>
      <c r="E639" s="307">
        <f t="shared" ca="1" si="270"/>
        <v>30.362770027526359</v>
      </c>
      <c r="F639" s="304">
        <f t="shared" ca="1" si="271"/>
        <v>34.484115240517362</v>
      </c>
      <c r="G639" s="306">
        <f t="shared" ca="1" si="272"/>
        <v>168.44487844760792</v>
      </c>
      <c r="H639" s="307">
        <f t="shared" ca="1" si="273"/>
        <v>413.83059308418086</v>
      </c>
      <c r="I639" s="304">
        <f t="shared" ca="1" si="274"/>
        <v>446.79910121623374</v>
      </c>
      <c r="J639" s="306">
        <f t="shared" ca="1" si="275"/>
        <v>527.53544976553769</v>
      </c>
      <c r="K639" s="307">
        <f t="shared" ca="1" si="276"/>
        <v>1386.5519988170877</v>
      </c>
      <c r="L639" s="304">
        <f t="shared" ca="1" si="261"/>
        <v>1483.5161260272801</v>
      </c>
      <c r="M639" s="306">
        <f t="shared" ca="1" si="277"/>
        <v>1.1842372607203031</v>
      </c>
      <c r="N639" s="304">
        <f t="shared" ca="1" si="278"/>
        <v>67.851796981407077</v>
      </c>
      <c r="P639" s="310">
        <f t="shared" ca="1" si="279"/>
        <v>17</v>
      </c>
      <c r="Q639" s="304">
        <f t="shared" ca="1" si="280"/>
        <v>1922.0979765396285</v>
      </c>
      <c r="R639" s="306">
        <f t="shared" ca="1" si="281"/>
        <v>1.1559000113767195</v>
      </c>
      <c r="S639" s="307">
        <f t="shared" ca="1" si="282"/>
        <v>15.742220091156161</v>
      </c>
      <c r="T639" s="304">
        <f t="shared" ca="1" si="262"/>
        <v>154.43117909424194</v>
      </c>
      <c r="U639" s="311">
        <f t="shared" ca="1" si="263"/>
        <v>0</v>
      </c>
      <c r="V639" s="306">
        <f t="shared" ca="1" si="264"/>
        <v>1.0661594165674879</v>
      </c>
      <c r="W639" s="304">
        <f t="shared" ca="1" si="265"/>
        <v>1240.7188680544393</v>
      </c>
      <c r="Y639" s="314" t="str">
        <f t="shared" ca="1" si="283"/>
        <v/>
      </c>
      <c r="Z639" s="315" t="str">
        <f t="shared" ca="1" si="284"/>
        <v/>
      </c>
      <c r="AA639" s="316" t="str">
        <f t="shared" ca="1" si="285"/>
        <v/>
      </c>
      <c r="AC639" s="310" t="e">
        <f t="shared" ca="1" si="286"/>
        <v>#N/A</v>
      </c>
      <c r="AD639" s="323" t="e">
        <f t="shared" ca="1" si="287"/>
        <v>#N/A</v>
      </c>
      <c r="AE639" s="324">
        <f t="shared" ca="1" si="266"/>
        <v>1386.5519988170877</v>
      </c>
      <c r="AG639" s="306">
        <f t="shared" ca="1" si="288"/>
        <v>34.285296589408027</v>
      </c>
      <c r="AH639" s="304">
        <f t="shared" ca="1" si="289"/>
        <v>43.371740244787837</v>
      </c>
    </row>
    <row r="640" spans="1:34" x14ac:dyDescent="0.2">
      <c r="A640" s="347">
        <f t="shared" ca="1" si="267"/>
        <v>0.01</v>
      </c>
      <c r="B640" s="304">
        <f t="shared" ca="1" si="268"/>
        <v>6.3599999999999088</v>
      </c>
      <c r="D640" s="306">
        <f t="shared" ca="1" si="269"/>
        <v>16.227290575104103</v>
      </c>
      <c r="E640" s="307">
        <f t="shared" ca="1" si="270"/>
        <v>30.056746586381806</v>
      </c>
      <c r="F640" s="304">
        <f t="shared" ca="1" si="271"/>
        <v>34.157473190604087</v>
      </c>
      <c r="G640" s="306">
        <f t="shared" ca="1" si="272"/>
        <v>168.60715135335897</v>
      </c>
      <c r="H640" s="307">
        <f t="shared" ca="1" si="273"/>
        <v>414.13116055004468</v>
      </c>
      <c r="I640" s="304">
        <f t="shared" ca="1" si="274"/>
        <v>447.13866934768839</v>
      </c>
      <c r="J640" s="306">
        <f t="shared" ca="1" si="275"/>
        <v>529.22070991454257</v>
      </c>
      <c r="K640" s="307">
        <f t="shared" ca="1" si="276"/>
        <v>1390.6918075852589</v>
      </c>
      <c r="L640" s="304">
        <f t="shared" ca="1" si="261"/>
        <v>1487.9846314687552</v>
      </c>
      <c r="M640" s="306">
        <f t="shared" ca="1" si="277"/>
        <v>1.1841545480012465</v>
      </c>
      <c r="N640" s="304">
        <f t="shared" ca="1" si="278"/>
        <v>67.847057891693083</v>
      </c>
      <c r="P640" s="310">
        <f t="shared" ca="1" si="279"/>
        <v>17</v>
      </c>
      <c r="Q640" s="304">
        <f t="shared" ca="1" si="280"/>
        <v>1917.8116422287781</v>
      </c>
      <c r="R640" s="306">
        <f t="shared" ca="1" si="281"/>
        <v>1.1533223207807406</v>
      </c>
      <c r="S640" s="307">
        <f t="shared" ca="1" si="282"/>
        <v>15.730686867948354</v>
      </c>
      <c r="T640" s="304">
        <f t="shared" ca="1" si="262"/>
        <v>154.31803817457336</v>
      </c>
      <c r="U640" s="311">
        <f t="shared" ca="1" si="263"/>
        <v>0</v>
      </c>
      <c r="V640" s="306">
        <f t="shared" ca="1" si="264"/>
        <v>1.0657160011825484</v>
      </c>
      <c r="W640" s="304">
        <f t="shared" ca="1" si="265"/>
        <v>1242.0886826491394</v>
      </c>
      <c r="Y640" s="314" t="str">
        <f t="shared" ca="1" si="283"/>
        <v/>
      </c>
      <c r="Z640" s="315" t="str">
        <f t="shared" ca="1" si="284"/>
        <v/>
      </c>
      <c r="AA640" s="316" t="str">
        <f t="shared" ca="1" si="285"/>
        <v/>
      </c>
      <c r="AC640" s="310" t="e">
        <f t="shared" ca="1" si="286"/>
        <v>#N/A</v>
      </c>
      <c r="AD640" s="323" t="e">
        <f t="shared" ca="1" si="287"/>
        <v>#N/A</v>
      </c>
      <c r="AE640" s="324">
        <f t="shared" ca="1" si="266"/>
        <v>1390.6918075852589</v>
      </c>
      <c r="AG640" s="306">
        <f t="shared" ca="1" si="288"/>
        <v>33.956660192873038</v>
      </c>
      <c r="AH640" s="304">
        <f t="shared" ca="1" si="289"/>
        <v>43.042797803949128</v>
      </c>
    </row>
    <row r="641" spans="1:34" x14ac:dyDescent="0.2">
      <c r="A641" s="347">
        <f t="shared" ca="1" si="267"/>
        <v>0.01</v>
      </c>
      <c r="B641" s="304">
        <f t="shared" ca="1" si="268"/>
        <v>6.3699999999999086</v>
      </c>
      <c r="D641" s="306">
        <f t="shared" ca="1" si="269"/>
        <v>16.106787059594961</v>
      </c>
      <c r="E641" s="307">
        <f t="shared" ca="1" si="270"/>
        <v>29.751325626948955</v>
      </c>
      <c r="F641" s="304">
        <f t="shared" ca="1" si="271"/>
        <v>33.831493699567645</v>
      </c>
      <c r="G641" s="306">
        <f t="shared" ca="1" si="272"/>
        <v>168.76821922395493</v>
      </c>
      <c r="H641" s="307">
        <f t="shared" ca="1" si="273"/>
        <v>414.42867380631418</v>
      </c>
      <c r="I641" s="304">
        <f t="shared" ca="1" si="274"/>
        <v>447.47495739190288</v>
      </c>
      <c r="J641" s="306">
        <f t="shared" ca="1" si="275"/>
        <v>530.90758676742917</v>
      </c>
      <c r="K641" s="307">
        <f t="shared" ca="1" si="276"/>
        <v>1394.8346067570405</v>
      </c>
      <c r="L641" s="304">
        <f t="shared" ca="1" si="261"/>
        <v>1492.4565139039339</v>
      </c>
      <c r="M641" s="306">
        <f t="shared" ca="1" si="277"/>
        <v>1.1840718806479325</v>
      </c>
      <c r="N641" s="304">
        <f t="shared" ca="1" si="278"/>
        <v>67.842321401244661</v>
      </c>
      <c r="P641" s="310">
        <f t="shared" ca="1" si="279"/>
        <v>17</v>
      </c>
      <c r="Q641" s="304">
        <f t="shared" ca="1" si="280"/>
        <v>1913.5253079179276</v>
      </c>
      <c r="R641" s="306">
        <f t="shared" ca="1" si="281"/>
        <v>1.1507446301847615</v>
      </c>
      <c r="S641" s="307">
        <f t="shared" ca="1" si="282"/>
        <v>15.719179421646507</v>
      </c>
      <c r="T641" s="304">
        <f t="shared" ca="1" si="262"/>
        <v>154.20515012635224</v>
      </c>
      <c r="U641" s="311">
        <f t="shared" ca="1" si="263"/>
        <v>0</v>
      </c>
      <c r="V641" s="306">
        <f t="shared" ca="1" si="264"/>
        <v>1.0652724372790681</v>
      </c>
      <c r="W641" s="304">
        <f t="shared" ca="1" si="265"/>
        <v>1243.4399572627456</v>
      </c>
      <c r="Y641" s="314" t="str">
        <f t="shared" ca="1" si="283"/>
        <v/>
      </c>
      <c r="Z641" s="315" t="str">
        <f t="shared" ca="1" si="284"/>
        <v/>
      </c>
      <c r="AA641" s="316" t="str">
        <f t="shared" ca="1" si="285"/>
        <v/>
      </c>
      <c r="AC641" s="310" t="e">
        <f t="shared" ca="1" si="286"/>
        <v>#N/A</v>
      </c>
      <c r="AD641" s="323" t="e">
        <f t="shared" ca="1" si="287"/>
        <v>#N/A</v>
      </c>
      <c r="AE641" s="324">
        <f t="shared" ca="1" si="266"/>
        <v>1394.8346067570405</v>
      </c>
      <c r="AG641" s="306">
        <f t="shared" ca="1" si="288"/>
        <v>33.628651521686706</v>
      </c>
      <c r="AH641" s="304">
        <f t="shared" ca="1" si="289"/>
        <v>42.714483196506357</v>
      </c>
    </row>
    <row r="642" spans="1:34" x14ac:dyDescent="0.2">
      <c r="A642" s="347">
        <f t="shared" ca="1" si="267"/>
        <v>0.01</v>
      </c>
      <c r="B642" s="304">
        <f t="shared" ca="1" si="268"/>
        <v>6.3799999999999084</v>
      </c>
      <c r="D642" s="306">
        <f t="shared" ca="1" si="269"/>
        <v>15.986468849531589</v>
      </c>
      <c r="E642" s="307">
        <f t="shared" ca="1" si="270"/>
        <v>29.446508806113783</v>
      </c>
      <c r="F642" s="304">
        <f t="shared" ca="1" si="271"/>
        <v>33.506179536700103</v>
      </c>
      <c r="G642" s="306">
        <f t="shared" ca="1" si="272"/>
        <v>168.92808391245023</v>
      </c>
      <c r="H642" s="307">
        <f t="shared" ca="1" si="273"/>
        <v>414.72313889437532</v>
      </c>
      <c r="I642" s="304">
        <f t="shared" ca="1" si="274"/>
        <v>447.80797164491742</v>
      </c>
      <c r="J642" s="306">
        <f t="shared" ca="1" si="275"/>
        <v>532.59606828311121</v>
      </c>
      <c r="K642" s="307">
        <f t="shared" ca="1" si="276"/>
        <v>1398.980365820544</v>
      </c>
      <c r="L642" s="304">
        <f t="shared" ca="1" si="261"/>
        <v>1496.9317405620109</v>
      </c>
      <c r="M642" s="306">
        <f t="shared" ca="1" si="277"/>
        <v>1.1839892579979689</v>
      </c>
      <c r="N642" s="304">
        <f t="shared" ca="1" si="278"/>
        <v>67.837587472109576</v>
      </c>
      <c r="P642" s="310">
        <f t="shared" ca="1" si="279"/>
        <v>17</v>
      </c>
      <c r="Q642" s="304">
        <f t="shared" ca="1" si="280"/>
        <v>1909.2389736070772</v>
      </c>
      <c r="R642" s="306">
        <f t="shared" ca="1" si="281"/>
        <v>1.1481669395887826</v>
      </c>
      <c r="S642" s="307">
        <f t="shared" ca="1" si="282"/>
        <v>15.707697752250619</v>
      </c>
      <c r="T642" s="304">
        <f t="shared" ca="1" si="262"/>
        <v>154.09251494957857</v>
      </c>
      <c r="U642" s="311">
        <f t="shared" ca="1" si="263"/>
        <v>0</v>
      </c>
      <c r="V642" s="306">
        <f t="shared" ca="1" si="264"/>
        <v>1.0648287283942321</v>
      </c>
      <c r="W642" s="304">
        <f t="shared" ca="1" si="265"/>
        <v>1244.7727101512369</v>
      </c>
      <c r="Y642" s="314" t="str">
        <f t="shared" ca="1" si="283"/>
        <v/>
      </c>
      <c r="Z642" s="315" t="str">
        <f t="shared" ca="1" si="284"/>
        <v/>
      </c>
      <c r="AA642" s="316" t="str">
        <f t="shared" ca="1" si="285"/>
        <v/>
      </c>
      <c r="AC642" s="310" t="e">
        <f t="shared" ca="1" si="286"/>
        <v>#N/A</v>
      </c>
      <c r="AD642" s="323" t="e">
        <f t="shared" ca="1" si="287"/>
        <v>#N/A</v>
      </c>
      <c r="AE642" s="324">
        <f t="shared" ca="1" si="266"/>
        <v>1398.980365820544</v>
      </c>
      <c r="AG642" s="306">
        <f t="shared" ca="1" si="288"/>
        <v>33.301272453348709</v>
      </c>
      <c r="AH642" s="304">
        <f t="shared" ca="1" si="289"/>
        <v>42.38679829760126</v>
      </c>
    </row>
    <row r="643" spans="1:34" x14ac:dyDescent="0.2">
      <c r="A643" s="347">
        <f t="shared" ca="1" si="267"/>
        <v>0.01</v>
      </c>
      <c r="B643" s="304">
        <f t="shared" ca="1" si="268"/>
        <v>6.3899999999999082</v>
      </c>
      <c r="D643" s="306">
        <f t="shared" ca="1" si="269"/>
        <v>15.86633685089631</v>
      </c>
      <c r="E643" s="307">
        <f t="shared" ca="1" si="270"/>
        <v>29.142297742094073</v>
      </c>
      <c r="F643" s="304">
        <f t="shared" ca="1" si="271"/>
        <v>33.18153345996793</v>
      </c>
      <c r="G643" s="306">
        <f t="shared" ca="1" si="272"/>
        <v>169.0867472809592</v>
      </c>
      <c r="H643" s="307">
        <f t="shared" ca="1" si="273"/>
        <v>415.01456187179627</v>
      </c>
      <c r="I643" s="304">
        <f t="shared" ca="1" si="274"/>
        <v>448.13771842112777</v>
      </c>
      <c r="J643" s="306">
        <f t="shared" ca="1" si="275"/>
        <v>534.28614243907828</v>
      </c>
      <c r="K643" s="307">
        <f t="shared" ca="1" si="276"/>
        <v>1403.1290543243749</v>
      </c>
      <c r="L643" s="304">
        <f t="shared" ca="1" si="261"/>
        <v>1501.4102787351783</v>
      </c>
      <c r="M643" s="306">
        <f t="shared" ca="1" si="277"/>
        <v>1.1839066793924495</v>
      </c>
      <c r="N643" s="304">
        <f t="shared" ca="1" si="278"/>
        <v>67.832856066535228</v>
      </c>
      <c r="P643" s="310">
        <f t="shared" ca="1" si="279"/>
        <v>17</v>
      </c>
      <c r="Q643" s="304">
        <f t="shared" ca="1" si="280"/>
        <v>1904.9526392962271</v>
      </c>
      <c r="R643" s="306">
        <f t="shared" ca="1" si="281"/>
        <v>1.1455892489928037</v>
      </c>
      <c r="S643" s="307">
        <f t="shared" ca="1" si="282"/>
        <v>15.69624185976069</v>
      </c>
      <c r="T643" s="304">
        <f t="shared" ca="1" si="262"/>
        <v>153.98013264425236</v>
      </c>
      <c r="U643" s="311">
        <f t="shared" ca="1" si="263"/>
        <v>0</v>
      </c>
      <c r="V643" s="306">
        <f t="shared" ca="1" si="264"/>
        <v>1.0643848780536063</v>
      </c>
      <c r="W643" s="304">
        <f t="shared" ca="1" si="265"/>
        <v>1246.0869602112139</v>
      </c>
      <c r="Y643" s="314" t="str">
        <f t="shared" ca="1" si="283"/>
        <v/>
      </c>
      <c r="Z643" s="315" t="str">
        <f t="shared" ca="1" si="284"/>
        <v/>
      </c>
      <c r="AA643" s="316" t="str">
        <f t="shared" ca="1" si="285"/>
        <v/>
      </c>
      <c r="AC643" s="310" t="e">
        <f t="shared" ca="1" si="286"/>
        <v>#N/A</v>
      </c>
      <c r="AD643" s="323" t="e">
        <f t="shared" ca="1" si="287"/>
        <v>#N/A</v>
      </c>
      <c r="AE643" s="324">
        <f t="shared" ca="1" si="266"/>
        <v>1403.1290543243749</v>
      </c>
      <c r="AG643" s="306">
        <f t="shared" ca="1" si="288"/>
        <v>32.974524823412061</v>
      </c>
      <c r="AH643" s="304">
        <f t="shared" ca="1" si="289"/>
        <v>42.05974494043987</v>
      </c>
    </row>
    <row r="644" spans="1:34" x14ac:dyDescent="0.2">
      <c r="A644" s="347">
        <f t="shared" ca="1" si="267"/>
        <v>0.01</v>
      </c>
      <c r="B644" s="304">
        <f t="shared" ca="1" si="268"/>
        <v>6.399999999999908</v>
      </c>
      <c r="D644" s="306">
        <f t="shared" ca="1" si="269"/>
        <v>15.746391953382489</v>
      </c>
      <c r="E644" s="307">
        <f t="shared" ca="1" si="270"/>
        <v>28.838694014652177</v>
      </c>
      <c r="F644" s="304">
        <f t="shared" ca="1" si="271"/>
        <v>32.857558217559074</v>
      </c>
      <c r="G644" s="306">
        <f t="shared" ca="1" si="272"/>
        <v>169.24421120049303</v>
      </c>
      <c r="H644" s="307">
        <f t="shared" ca="1" si="273"/>
        <v>415.30294881194277</v>
      </c>
      <c r="I644" s="304">
        <f t="shared" ca="1" si="274"/>
        <v>448.46420405286779</v>
      </c>
      <c r="J644" s="306">
        <f t="shared" ca="1" si="275"/>
        <v>535.97779723148551</v>
      </c>
      <c r="K644" s="307">
        <f t="shared" ca="1" si="276"/>
        <v>1407.2806418777936</v>
      </c>
      <c r="L644" s="304">
        <f t="shared" ref="L644:L707" ca="1" si="290">SQRT(pos_x^2+pos_z^2)</f>
        <v>1505.892095778808</v>
      </c>
      <c r="M644" s="306">
        <f t="shared" ca="1" si="277"/>
        <v>1.1838241441759141</v>
      </c>
      <c r="N644" s="304">
        <f t="shared" ca="1" si="278"/>
        <v>67.828127146966551</v>
      </c>
      <c r="P644" s="310">
        <f t="shared" ca="1" si="279"/>
        <v>17</v>
      </c>
      <c r="Q644" s="304">
        <f t="shared" ca="1" si="280"/>
        <v>1900.6663049853767</v>
      </c>
      <c r="R644" s="306">
        <f t="shared" ca="1" si="281"/>
        <v>1.1430115583968248</v>
      </c>
      <c r="S644" s="307">
        <f t="shared" ca="1" si="282"/>
        <v>15.684811744176722</v>
      </c>
      <c r="T644" s="304">
        <f t="shared" ref="T644:T707" ca="1" si="291">m*g</f>
        <v>153.86800321037364</v>
      </c>
      <c r="U644" s="311">
        <f t="shared" ref="U644:U707" ca="1" si="292">IF(pos_xz&lt;L_rampe,Poids*COS(Beta),0)</f>
        <v>0</v>
      </c>
      <c r="V644" s="306">
        <f t="shared" ref="V644:V707" ca="1" si="293">Rho_moyen*(20000-Alt_rampe-pos_z)/(20000+Alt_rampe+pos_z)</f>
        <v>1.063940889771128</v>
      </c>
      <c r="W644" s="304">
        <f t="shared" ref="W644:W707" ca="1" si="294">1/2*Rho*Sref*Cx*vit_xz^2</f>
        <v>1247.3827269734747</v>
      </c>
      <c r="Y644" s="314" t="str">
        <f t="shared" ca="1" si="283"/>
        <v/>
      </c>
      <c r="Z644" s="315" t="str">
        <f t="shared" ca="1" si="284"/>
        <v/>
      </c>
      <c r="AA644" s="316" t="str">
        <f t="shared" ca="1" si="285"/>
        <v/>
      </c>
      <c r="AC644" s="310" t="e">
        <f t="shared" ca="1" si="286"/>
        <v>#N/A</v>
      </c>
      <c r="AD644" s="323" t="e">
        <f t="shared" ca="1" si="287"/>
        <v>#N/A</v>
      </c>
      <c r="AE644" s="324">
        <f t="shared" ref="AE644:AE707" ca="1" si="295">IF(t&lt;T_para, pos_z, NA())</f>
        <v>1407.2806418777936</v>
      </c>
      <c r="AG644" s="306">
        <f t="shared" ca="1" si="288"/>
        <v>32.648410425709862</v>
      </c>
      <c r="AH644" s="304">
        <f t="shared" ca="1" si="289"/>
        <v>41.733324916519166</v>
      </c>
    </row>
    <row r="645" spans="1:34" x14ac:dyDescent="0.2">
      <c r="A645" s="347">
        <f t="shared" ref="A645:A708" ca="1" si="296">IF(B644+0.01&lt;=T_ini+ROUNDUP(Temps_fin_propu,0), 0.01, IF(K644&gt;0, 0.1, 0.0001))</f>
        <v>0.01</v>
      </c>
      <c r="B645" s="304">
        <f t="shared" ref="B645:B708" ca="1" si="297">B644+pas</f>
        <v>6.4099999999999078</v>
      </c>
      <c r="D645" s="306">
        <f t="shared" ref="D645:D708" ca="1" si="298">IF(AND(L644&lt;L_rampe,Poussee&lt;Poids*SIN(M644)),0,(-W644+Poussee)/m*COS(M644)-U644/m*SIN(M644))</f>
        <v>15.626635030474663</v>
      </c>
      <c r="E645" s="307">
        <f t="shared" ref="E645:E708" ca="1" si="299">IF(AND(L644&lt;L_rampe,Poussee&lt;Poids*SIN(M644)),0,(-W644+Poussee)/m*SIN(M644)+U644/m*COS(M644)-Poids/m)</f>
        <v>28.535699165309019</v>
      </c>
      <c r="F645" s="304">
        <f t="shared" ref="F645:F708" ca="1" si="300">SQRT(acc_x^2+acc_z^2)</f>
        <v>32.534256549499879</v>
      </c>
      <c r="G645" s="306">
        <f t="shared" ref="G645:G708" ca="1" si="301">G644+acc_x*pas</f>
        <v>169.40047755079777</v>
      </c>
      <c r="H645" s="307">
        <f t="shared" ref="H645:H708" ca="1" si="302">H644+acc_z*pas</f>
        <v>415.58830580359586</v>
      </c>
      <c r="I645" s="304">
        <f t="shared" ref="I645:I708" ca="1" si="303">SQRT(vit_x^2+vit_z^2)</f>
        <v>448.78743488999493</v>
      </c>
      <c r="J645" s="306">
        <f t="shared" ref="J645:J708" ca="1" si="304">J644+0.5*(vit_x+G644)*pas*(K644&gt;=0)</f>
        <v>537.67102067524195</v>
      </c>
      <c r="K645" s="307">
        <f t="shared" ref="K645:K708" ca="1" si="305">K644+0.5*(vit_z+H644)*pas</f>
        <v>1411.4350981508712</v>
      </c>
      <c r="L645" s="304">
        <f t="shared" ca="1" si="290"/>
        <v>1510.3771591116292</v>
      </c>
      <c r="M645" s="306">
        <f t="shared" ref="M645:M708" ca="1" si="306">IF(AND(L644&gt;L_rampe,G645&gt;0),ATAN2(G645,H645),$M$4)</f>
        <v>1.183741651696314</v>
      </c>
      <c r="N645" s="304">
        <f t="shared" ref="N645:N708" ca="1" si="307">DEGREES(Beta)</f>
        <v>67.823400676043903</v>
      </c>
      <c r="P645" s="310">
        <f t="shared" ref="P645:P708" ca="1" si="308">MATCH(t-pas/2-T_ini,CdP_t)</f>
        <v>17</v>
      </c>
      <c r="Q645" s="304">
        <f t="shared" ref="Q645:Q708" ca="1" si="309">(INDEX(CdP,2,i_P+1)-INDEX(CdP,2,i_P+0))/(INDEX(CdP,1,i_P+1)-INDEX(CdP,1,i_P+0))*(t-pas/2-T_ini-INDEX(CdP,1,i_P+0))+INDEX(CdP,2,i_P+0)</f>
        <v>1896.3799706745262</v>
      </c>
      <c r="R645" s="306">
        <f t="shared" ref="R645:R708" ca="1" si="310">Poussee/(g*ISP)</f>
        <v>1.1404338678008459</v>
      </c>
      <c r="S645" s="307">
        <f t="shared" ref="S645:S708" ca="1" si="311">S644-Débit*pas</f>
        <v>15.673407405498713</v>
      </c>
      <c r="T645" s="304">
        <f t="shared" ca="1" si="291"/>
        <v>153.75612664794238</v>
      </c>
      <c r="U645" s="311">
        <f t="shared" ca="1" si="292"/>
        <v>0</v>
      </c>
      <c r="V645" s="306">
        <f t="shared" ca="1" si="293"/>
        <v>1.0634967670491047</v>
      </c>
      <c r="W645" s="304">
        <f t="shared" ca="1" si="294"/>
        <v>1248.6600305966067</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f t="shared" ca="1" si="295"/>
        <v>1411.4350981508712</v>
      </c>
      <c r="AG645" s="306">
        <f t="shared" ref="AG645:AG708" ca="1" si="317">IF(AND(L644&lt;L_rampe,Poussee&lt;Poids*SIN(M644)),0,(-W644+Poussee)/m-Poids*SIN(M644)/m)</f>
        <v>32.322931012583481</v>
      </c>
      <c r="AH645" s="304">
        <f t="shared" ref="AH645:AH708" ca="1" si="318">IF(AND(L644&lt;L_rampe,Poussee&lt;Poids*SIN(M644)), g*SIN(M644), (-W644+Poussee)/m)</f>
        <v>41.407539975855109</v>
      </c>
    </row>
    <row r="646" spans="1:34" x14ac:dyDescent="0.2">
      <c r="A646" s="347">
        <f t="shared" ca="1" si="296"/>
        <v>0.01</v>
      </c>
      <c r="B646" s="304">
        <f t="shared" ca="1" si="297"/>
        <v>6.4199999999999076</v>
      </c>
      <c r="D646" s="306">
        <f t="shared" ca="1" si="298"/>
        <v>15.507066939528947</v>
      </c>
      <c r="E646" s="307">
        <f t="shared" ca="1" si="299"/>
        <v>28.233314697559063</v>
      </c>
      <c r="F646" s="304">
        <f t="shared" ca="1" si="300"/>
        <v>32.211631189345823</v>
      </c>
      <c r="G646" s="306">
        <f t="shared" ca="1" si="301"/>
        <v>169.55554822019306</v>
      </c>
      <c r="H646" s="307">
        <f t="shared" ca="1" si="302"/>
        <v>415.87063895057145</v>
      </c>
      <c r="I646" s="304">
        <f t="shared" ca="1" si="303"/>
        <v>449.10741729947722</v>
      </c>
      <c r="J646" s="306">
        <f t="shared" ca="1" si="304"/>
        <v>539.36580080409692</v>
      </c>
      <c r="K646" s="307">
        <f t="shared" ca="1" si="305"/>
        <v>1415.592392874642</v>
      </c>
      <c r="L646" s="304">
        <f t="shared" ca="1" si="290"/>
        <v>1514.8654362159036</v>
      </c>
      <c r="M646" s="306">
        <f t="shared" ca="1" si="306"/>
        <v>1.1836592013049723</v>
      </c>
      <c r="N646" s="304">
        <f t="shared" ca="1" si="307"/>
        <v>67.818676616600811</v>
      </c>
      <c r="P646" s="310">
        <f t="shared" ca="1" si="308"/>
        <v>17</v>
      </c>
      <c r="Q646" s="304">
        <f t="shared" ca="1" si="309"/>
        <v>1892.0936363636758</v>
      </c>
      <c r="R646" s="306">
        <f t="shared" ca="1" si="310"/>
        <v>1.1378561772048668</v>
      </c>
      <c r="S646" s="307">
        <f t="shared" ca="1" si="311"/>
        <v>15.662028843726665</v>
      </c>
      <c r="T646" s="304">
        <f t="shared" ca="1" si="291"/>
        <v>153.64450295695858</v>
      </c>
      <c r="U646" s="311">
        <f t="shared" ca="1" si="292"/>
        <v>0</v>
      </c>
      <c r="V646" s="306">
        <f t="shared" ca="1" si="293"/>
        <v>1.0630525133782056</v>
      </c>
      <c r="W646" s="304">
        <f t="shared" ca="1" si="294"/>
        <v>1249.9188918605771</v>
      </c>
      <c r="Y646" s="314" t="str">
        <f t="shared" ca="1" si="312"/>
        <v/>
      </c>
      <c r="Z646" s="315" t="str">
        <f t="shared" ca="1" si="313"/>
        <v/>
      </c>
      <c r="AA646" s="316" t="str">
        <f t="shared" ca="1" si="314"/>
        <v/>
      </c>
      <c r="AC646" s="310" t="e">
        <f t="shared" ca="1" si="315"/>
        <v>#N/A</v>
      </c>
      <c r="AD646" s="323" t="e">
        <f t="shared" ca="1" si="316"/>
        <v>#N/A</v>
      </c>
      <c r="AE646" s="324">
        <f t="shared" ca="1" si="295"/>
        <v>1415.592392874642</v>
      </c>
      <c r="AG646" s="306">
        <f t="shared" ca="1" si="317"/>
        <v>31.998088295111643</v>
      </c>
      <c r="AH646" s="304">
        <f t="shared" ca="1" si="318"/>
        <v>41.08239182721163</v>
      </c>
    </row>
    <row r="647" spans="1:34" x14ac:dyDescent="0.2">
      <c r="A647" s="347">
        <f t="shared" ca="1" si="296"/>
        <v>0.01</v>
      </c>
      <c r="B647" s="304">
        <f t="shared" ca="1" si="297"/>
        <v>6.4299999999999073</v>
      </c>
      <c r="D647" s="306">
        <f t="shared" ca="1" si="298"/>
        <v>15.387688521854399</v>
      </c>
      <c r="E647" s="307">
        <f t="shared" ca="1" si="299"/>
        <v>27.931542077086952</v>
      </c>
      <c r="F647" s="304">
        <f t="shared" ca="1" si="300"/>
        <v>31.889684865951381</v>
      </c>
      <c r="G647" s="306">
        <f t="shared" ca="1" si="301"/>
        <v>169.70942510541161</v>
      </c>
      <c r="H647" s="307">
        <f t="shared" ca="1" si="302"/>
        <v>416.14995437134229</v>
      </c>
      <c r="I647" s="304">
        <f t="shared" ca="1" si="303"/>
        <v>449.42415766498306</v>
      </c>
      <c r="J647" s="306">
        <f t="shared" ca="1" si="304"/>
        <v>541.06212567072498</v>
      </c>
      <c r="K647" s="307">
        <f t="shared" ca="1" si="305"/>
        <v>1419.7524958412516</v>
      </c>
      <c r="L647" s="304">
        <f t="shared" ca="1" si="290"/>
        <v>1519.3568946375919</v>
      </c>
      <c r="M647" s="306">
        <f t="shared" ca="1" si="306"/>
        <v>1.1835767923565503</v>
      </c>
      <c r="N647" s="304">
        <f t="shared" ca="1" si="307"/>
        <v>67.813954931662124</v>
      </c>
      <c r="P647" s="310">
        <f t="shared" ca="1" si="308"/>
        <v>17</v>
      </c>
      <c r="Q647" s="304">
        <f t="shared" ca="1" si="309"/>
        <v>1887.8073020528254</v>
      </c>
      <c r="R647" s="306">
        <f t="shared" ca="1" si="310"/>
        <v>1.1352784866088879</v>
      </c>
      <c r="S647" s="307">
        <f t="shared" ca="1" si="311"/>
        <v>15.650676058860576</v>
      </c>
      <c r="T647" s="304">
        <f t="shared" ca="1" si="291"/>
        <v>153.53313213742226</v>
      </c>
      <c r="U647" s="311">
        <f t="shared" ca="1" si="292"/>
        <v>0</v>
      </c>
      <c r="V647" s="306">
        <f t="shared" ca="1" si="293"/>
        <v>1.0626081322374565</v>
      </c>
      <c r="W647" s="304">
        <f t="shared" ca="1" si="294"/>
        <v>1251.1593321603409</v>
      </c>
      <c r="Y647" s="314" t="str">
        <f t="shared" ca="1" si="312"/>
        <v/>
      </c>
      <c r="Z647" s="315" t="str">
        <f t="shared" ca="1" si="313"/>
        <v/>
      </c>
      <c r="AA647" s="316" t="str">
        <f t="shared" ca="1" si="314"/>
        <v/>
      </c>
      <c r="AC647" s="310" t="e">
        <f t="shared" ca="1" si="315"/>
        <v>#N/A</v>
      </c>
      <c r="AD647" s="323" t="e">
        <f t="shared" ca="1" si="316"/>
        <v>#N/A</v>
      </c>
      <c r="AE647" s="324">
        <f t="shared" ca="1" si="295"/>
        <v>1419.7524958412516</v>
      </c>
      <c r="AG647" s="306">
        <f t="shared" ca="1" si="317"/>
        <v>31.673883943341576</v>
      </c>
      <c r="AH647" s="304">
        <f t="shared" ca="1" si="318"/>
        <v>40.757882138331652</v>
      </c>
    </row>
    <row r="648" spans="1:34" x14ac:dyDescent="0.2">
      <c r="A648" s="347">
        <f t="shared" ca="1" si="296"/>
        <v>0.01</v>
      </c>
      <c r="B648" s="304">
        <f t="shared" ca="1" si="297"/>
        <v>6.4399999999999071</v>
      </c>
      <c r="D648" s="306">
        <f t="shared" ca="1" si="298"/>
        <v>15.268500602794663</v>
      </c>
      <c r="E648" s="307">
        <f t="shared" ca="1" si="299"/>
        <v>27.630382731985343</v>
      </c>
      <c r="F648" s="304">
        <f t="shared" ca="1" si="300"/>
        <v>31.568420305323084</v>
      </c>
      <c r="G648" s="306">
        <f t="shared" ca="1" si="301"/>
        <v>169.86211011143956</v>
      </c>
      <c r="H648" s="307">
        <f t="shared" ca="1" si="302"/>
        <v>416.42625819866214</v>
      </c>
      <c r="I648" s="304">
        <f t="shared" ca="1" si="303"/>
        <v>449.73766238647352</v>
      </c>
      <c r="J648" s="306">
        <f t="shared" ca="1" si="304"/>
        <v>542.75998334680924</v>
      </c>
      <c r="K648" s="307">
        <f t="shared" ca="1" si="305"/>
        <v>1423.9153769041015</v>
      </c>
      <c r="L648" s="304">
        <f t="shared" ca="1" si="290"/>
        <v>1523.8515019865217</v>
      </c>
      <c r="M648" s="306">
        <f t="shared" ca="1" si="306"/>
        <v>1.1834944242090093</v>
      </c>
      <c r="N648" s="304">
        <f t="shared" ca="1" si="307"/>
        <v>67.809235584441709</v>
      </c>
      <c r="P648" s="310">
        <f t="shared" ca="1" si="308"/>
        <v>17</v>
      </c>
      <c r="Q648" s="304">
        <f t="shared" ca="1" si="309"/>
        <v>1883.5209677419753</v>
      </c>
      <c r="R648" s="306">
        <f t="shared" ca="1" si="310"/>
        <v>1.132700796012909</v>
      </c>
      <c r="S648" s="307">
        <f t="shared" ca="1" si="311"/>
        <v>15.639349050900446</v>
      </c>
      <c r="T648" s="304">
        <f t="shared" ca="1" si="291"/>
        <v>153.42201418933337</v>
      </c>
      <c r="U648" s="311">
        <f t="shared" ca="1" si="292"/>
        <v>0</v>
      </c>
      <c r="V648" s="306">
        <f t="shared" ca="1" si="293"/>
        <v>1.0621636270942381</v>
      </c>
      <c r="W648" s="304">
        <f t="shared" ca="1" si="294"/>
        <v>1252.3813734994653</v>
      </c>
      <c r="Y648" s="314" t="str">
        <f t="shared" ca="1" si="312"/>
        <v/>
      </c>
      <c r="Z648" s="315" t="str">
        <f t="shared" ca="1" si="313"/>
        <v/>
      </c>
      <c r="AA648" s="316" t="str">
        <f t="shared" ca="1" si="314"/>
        <v/>
      </c>
      <c r="AC648" s="310" t="e">
        <f t="shared" ca="1" si="315"/>
        <v>#N/A</v>
      </c>
      <c r="AD648" s="323" t="e">
        <f t="shared" ca="1" si="316"/>
        <v>#N/A</v>
      </c>
      <c r="AE648" s="324">
        <f t="shared" ca="1" si="295"/>
        <v>1423.9153769041015</v>
      </c>
      <c r="AG648" s="306">
        <f t="shared" ca="1" si="317"/>
        <v>31.350319586521259</v>
      </c>
      <c r="AH648" s="304">
        <f t="shared" ca="1" si="318"/>
        <v>40.434012536169192</v>
      </c>
    </row>
    <row r="649" spans="1:34" x14ac:dyDescent="0.2">
      <c r="A649" s="347">
        <f t="shared" ca="1" si="296"/>
        <v>0.01</v>
      </c>
      <c r="B649" s="304">
        <f t="shared" ca="1" si="297"/>
        <v>6.4499999999999069</v>
      </c>
      <c r="D649" s="306">
        <f t="shared" ca="1" si="298"/>
        <v>15.149503991810098</v>
      </c>
      <c r="E649" s="307">
        <f t="shared" ca="1" si="299"/>
        <v>27.329838052973258</v>
      </c>
      <c r="F649" s="304">
        <f t="shared" ca="1" si="300"/>
        <v>31.247840232560318</v>
      </c>
      <c r="G649" s="306">
        <f t="shared" ca="1" si="301"/>
        <v>170.01360515135767</v>
      </c>
      <c r="H649" s="307">
        <f t="shared" ca="1" si="302"/>
        <v>416.69955657919189</v>
      </c>
      <c r="I649" s="304">
        <f t="shared" ca="1" si="303"/>
        <v>450.04793787979622</v>
      </c>
      <c r="J649" s="306">
        <f t="shared" ca="1" si="304"/>
        <v>544.4593619231232</v>
      </c>
      <c r="K649" s="307">
        <f t="shared" ca="1" si="305"/>
        <v>1428.0810059779908</v>
      </c>
      <c r="L649" s="304">
        <f t="shared" ca="1" si="290"/>
        <v>1528.3492259365478</v>
      </c>
      <c r="M649" s="306">
        <f t="shared" ca="1" si="306"/>
        <v>1.1834120962235757</v>
      </c>
      <c r="N649" s="304">
        <f t="shared" ca="1" si="307"/>
        <v>67.80451853834056</v>
      </c>
      <c r="P649" s="310">
        <f t="shared" ca="1" si="308"/>
        <v>17</v>
      </c>
      <c r="Q649" s="304">
        <f t="shared" ca="1" si="309"/>
        <v>1879.2346334311248</v>
      </c>
      <c r="R649" s="306">
        <f t="shared" ca="1" si="310"/>
        <v>1.1301231054169301</v>
      </c>
      <c r="S649" s="307">
        <f t="shared" ca="1" si="311"/>
        <v>15.628047819846277</v>
      </c>
      <c r="T649" s="304">
        <f t="shared" ca="1" si="291"/>
        <v>153.31114911269199</v>
      </c>
      <c r="U649" s="311">
        <f t="shared" ca="1" si="292"/>
        <v>0</v>
      </c>
      <c r="V649" s="306">
        <f t="shared" ca="1" si="293"/>
        <v>1.0617190014042797</v>
      </c>
      <c r="W649" s="304">
        <f t="shared" ca="1" si="294"/>
        <v>1253.5850384837518</v>
      </c>
      <c r="Y649" s="314" t="str">
        <f t="shared" ca="1" si="312"/>
        <v/>
      </c>
      <c r="Z649" s="315" t="str">
        <f t="shared" ca="1" si="313"/>
        <v/>
      </c>
      <c r="AA649" s="316" t="str">
        <f t="shared" ca="1" si="314"/>
        <v/>
      </c>
      <c r="AC649" s="310" t="e">
        <f t="shared" ca="1" si="315"/>
        <v>#N/A</v>
      </c>
      <c r="AD649" s="323" t="e">
        <f t="shared" ca="1" si="316"/>
        <v>#N/A</v>
      </c>
      <c r="AE649" s="324">
        <f t="shared" ca="1" si="295"/>
        <v>1428.0810059779908</v>
      </c>
      <c r="AG649" s="306">
        <f t="shared" ca="1" si="317"/>
        <v>31.027396813332338</v>
      </c>
      <c r="AH649" s="304">
        <f t="shared" ca="1" si="318"/>
        <v>40.110784607122191</v>
      </c>
    </row>
    <row r="650" spans="1:34" x14ac:dyDescent="0.2">
      <c r="A650" s="347">
        <f t="shared" ca="1" si="296"/>
        <v>0.01</v>
      </c>
      <c r="B650" s="304">
        <f t="shared" ca="1" si="297"/>
        <v>6.4599999999999067</v>
      </c>
      <c r="D650" s="306">
        <f t="shared" ca="1" si="298"/>
        <v>14.896409853458866</v>
      </c>
      <c r="E650" s="307">
        <f t="shared" ca="1" si="299"/>
        <v>26.700768506038258</v>
      </c>
      <c r="F650" s="304">
        <f t="shared" ca="1" si="300"/>
        <v>30.575056260541384</v>
      </c>
      <c r="G650" s="306">
        <f t="shared" ca="1" si="301"/>
        <v>170.16256924989224</v>
      </c>
      <c r="H650" s="307">
        <f t="shared" ca="1" si="302"/>
        <v>416.96656426425227</v>
      </c>
      <c r="I650" s="304">
        <f t="shared" ca="1" si="303"/>
        <v>450.3514357566313</v>
      </c>
      <c r="J650" s="306">
        <f t="shared" ca="1" si="304"/>
        <v>546.16024279512942</v>
      </c>
      <c r="K650" s="307">
        <f t="shared" ca="1" si="305"/>
        <v>1432.2493365822081</v>
      </c>
      <c r="L650" s="304">
        <f t="shared" ca="1" si="290"/>
        <v>1532.8500164563427</v>
      </c>
      <c r="M650" s="306">
        <f t="shared" ca="1" si="306"/>
        <v>1.1833298071151677</v>
      </c>
      <c r="N650" s="304">
        <f t="shared" ca="1" si="307"/>
        <v>67.799803719728885</v>
      </c>
      <c r="P650" s="310">
        <f t="shared" ca="1" si="308"/>
        <v>18</v>
      </c>
      <c r="Q650" s="304">
        <f t="shared" ca="1" si="309"/>
        <v>1869.3981343284554</v>
      </c>
      <c r="R650" s="306">
        <f t="shared" ca="1" si="310"/>
        <v>1.1242076892604904</v>
      </c>
      <c r="S650" s="307">
        <f t="shared" ca="1" si="311"/>
        <v>15.616805742953671</v>
      </c>
      <c r="T650" s="304">
        <f t="shared" ca="1" si="291"/>
        <v>153.20086433837551</v>
      </c>
      <c r="U650" s="311">
        <f t="shared" ca="1" si="292"/>
        <v>0</v>
      </c>
      <c r="V650" s="306">
        <f t="shared" ca="1" si="293"/>
        <v>1.0612742603672047</v>
      </c>
      <c r="W650" s="304">
        <f t="shared" ca="1" si="294"/>
        <v>1254.7505437293655</v>
      </c>
      <c r="Y650" s="314" t="str">
        <f t="shared" ca="1" si="312"/>
        <v/>
      </c>
      <c r="Z650" s="315" t="str">
        <f t="shared" ca="1" si="313"/>
        <v/>
      </c>
      <c r="AA650" s="316" t="str">
        <f t="shared" ca="1" si="314"/>
        <v/>
      </c>
      <c r="AC650" s="310" t="e">
        <f t="shared" ca="1" si="315"/>
        <v>#N/A</v>
      </c>
      <c r="AD650" s="323" t="e">
        <f t="shared" ca="1" si="316"/>
        <v>#N/A</v>
      </c>
      <c r="AE650" s="324">
        <f t="shared" ca="1" si="295"/>
        <v>1432.2493365822081</v>
      </c>
      <c r="AG650" s="306">
        <f t="shared" ca="1" si="317"/>
        <v>30.349635205831532</v>
      </c>
      <c r="AH650" s="304">
        <f t="shared" ca="1" si="318"/>
        <v>39.432717930973787</v>
      </c>
    </row>
    <row r="651" spans="1:34" x14ac:dyDescent="0.2">
      <c r="A651" s="347">
        <f t="shared" ca="1" si="296"/>
        <v>0.01</v>
      </c>
      <c r="B651" s="304">
        <f t="shared" ca="1" si="297"/>
        <v>6.4699999999999065</v>
      </c>
      <c r="D651" s="306">
        <f t="shared" ca="1" si="298"/>
        <v>14.628775455130457</v>
      </c>
      <c r="E651" s="307">
        <f t="shared" ca="1" si="299"/>
        <v>26.036368962384664</v>
      </c>
      <c r="F651" s="304">
        <f t="shared" ca="1" si="300"/>
        <v>29.864587391458379</v>
      </c>
      <c r="G651" s="306">
        <f t="shared" ca="1" si="301"/>
        <v>170.30885700444355</v>
      </c>
      <c r="H651" s="307">
        <f t="shared" ca="1" si="302"/>
        <v>417.2269279538761</v>
      </c>
      <c r="I651" s="304">
        <f t="shared" ca="1" si="303"/>
        <v>450.64777396985875</v>
      </c>
      <c r="J651" s="306">
        <f t="shared" ca="1" si="304"/>
        <v>547.86259992640112</v>
      </c>
      <c r="K651" s="307">
        <f t="shared" ca="1" si="305"/>
        <v>1436.4203040432988</v>
      </c>
      <c r="L651" s="304">
        <f t="shared" ca="1" si="290"/>
        <v>1537.3538038675283</v>
      </c>
      <c r="M651" s="306">
        <f t="shared" ca="1" si="306"/>
        <v>1.183247555533063</v>
      </c>
      <c r="N651" s="304">
        <f t="shared" ca="1" si="307"/>
        <v>67.795091051216005</v>
      </c>
      <c r="P651" s="310">
        <f t="shared" ca="1" si="308"/>
        <v>18</v>
      </c>
      <c r="Q651" s="304">
        <f t="shared" ca="1" si="309"/>
        <v>1858.9449502488537</v>
      </c>
      <c r="R651" s="306">
        <f t="shared" ca="1" si="310"/>
        <v>1.1179214147084056</v>
      </c>
      <c r="S651" s="307">
        <f t="shared" ca="1" si="311"/>
        <v>15.605626528806587</v>
      </c>
      <c r="T651" s="304">
        <f t="shared" ca="1" si="291"/>
        <v>153.09119624759262</v>
      </c>
      <c r="U651" s="311">
        <f t="shared" ca="1" si="292"/>
        <v>0</v>
      </c>
      <c r="V651" s="306">
        <f t="shared" ca="1" si="293"/>
        <v>1.0608294111147705</v>
      </c>
      <c r="W651" s="304">
        <f t="shared" ca="1" si="294"/>
        <v>1255.875737391538</v>
      </c>
      <c r="Y651" s="314" t="str">
        <f t="shared" ca="1" si="312"/>
        <v/>
      </c>
      <c r="Z651" s="315" t="str">
        <f t="shared" ca="1" si="313"/>
        <v/>
      </c>
      <c r="AA651" s="316" t="str">
        <f t="shared" ca="1" si="314"/>
        <v/>
      </c>
      <c r="AC651" s="310" t="e">
        <f t="shared" ca="1" si="315"/>
        <v>#N/A</v>
      </c>
      <c r="AD651" s="323" t="e">
        <f t="shared" ca="1" si="316"/>
        <v>#N/A</v>
      </c>
      <c r="AE651" s="324">
        <f t="shared" ca="1" si="295"/>
        <v>1436.4203040432988</v>
      </c>
      <c r="AG651" s="306">
        <f t="shared" ca="1" si="317"/>
        <v>29.633668883868324</v>
      </c>
      <c r="AH651" s="304">
        <f t="shared" ca="1" si="318"/>
        <v>38.716446622902289</v>
      </c>
    </row>
    <row r="652" spans="1:34" x14ac:dyDescent="0.2">
      <c r="A652" s="347">
        <f t="shared" ca="1" si="296"/>
        <v>0.01</v>
      </c>
      <c r="B652" s="304">
        <f t="shared" ca="1" si="297"/>
        <v>6.4799999999999063</v>
      </c>
      <c r="D652" s="306">
        <f t="shared" ca="1" si="298"/>
        <v>14.361561418019047</v>
      </c>
      <c r="E652" s="307">
        <f t="shared" ca="1" si="299"/>
        <v>25.373314928269764</v>
      </c>
      <c r="F652" s="304">
        <f t="shared" ca="1" si="300"/>
        <v>29.155780847246923</v>
      </c>
      <c r="G652" s="306">
        <f t="shared" ca="1" si="301"/>
        <v>170.45247261862374</v>
      </c>
      <c r="H652" s="307">
        <f t="shared" ca="1" si="302"/>
        <v>417.48066110315881</v>
      </c>
      <c r="I652" s="304">
        <f t="shared" ca="1" si="303"/>
        <v>450.93696656731657</v>
      </c>
      <c r="J652" s="306">
        <f t="shared" ca="1" si="304"/>
        <v>549.56640657451646</v>
      </c>
      <c r="K652" s="307">
        <f t="shared" ca="1" si="305"/>
        <v>1440.593841988584</v>
      </c>
      <c r="L652" s="304">
        <f t="shared" ca="1" si="290"/>
        <v>1541.860516652092</v>
      </c>
      <c r="M652" s="306">
        <f t="shared" ca="1" si="306"/>
        <v>1.1831653401332785</v>
      </c>
      <c r="N652" s="304">
        <f t="shared" ca="1" si="307"/>
        <v>67.790380455797376</v>
      </c>
      <c r="P652" s="310">
        <f t="shared" ca="1" si="308"/>
        <v>18</v>
      </c>
      <c r="Q652" s="304">
        <f t="shared" ca="1" si="309"/>
        <v>1848.4917661692518</v>
      </c>
      <c r="R652" s="306">
        <f t="shared" ca="1" si="310"/>
        <v>1.1116351401563209</v>
      </c>
      <c r="S652" s="307">
        <f t="shared" ca="1" si="311"/>
        <v>15.594510177405024</v>
      </c>
      <c r="T652" s="304">
        <f t="shared" ca="1" si="291"/>
        <v>152.9821448403433</v>
      </c>
      <c r="U652" s="311">
        <f t="shared" ca="1" si="292"/>
        <v>0</v>
      </c>
      <c r="V652" s="306">
        <f t="shared" ca="1" si="293"/>
        <v>1.0603844609490223</v>
      </c>
      <c r="W652" s="304">
        <f t="shared" ca="1" si="294"/>
        <v>1256.9606760145582</v>
      </c>
      <c r="Y652" s="314" t="str">
        <f t="shared" ca="1" si="312"/>
        <v/>
      </c>
      <c r="Z652" s="315" t="str">
        <f t="shared" ca="1" si="313"/>
        <v/>
      </c>
      <c r="AA652" s="316" t="str">
        <f t="shared" ca="1" si="314"/>
        <v/>
      </c>
      <c r="AC652" s="310" t="e">
        <f t="shared" ca="1" si="315"/>
        <v>#N/A</v>
      </c>
      <c r="AD652" s="323" t="e">
        <f t="shared" ca="1" si="316"/>
        <v>#N/A</v>
      </c>
      <c r="AE652" s="324">
        <f t="shared" ca="1" si="295"/>
        <v>1440.593841988584</v>
      </c>
      <c r="AG652" s="306">
        <f t="shared" ca="1" si="317"/>
        <v>28.919107343248115</v>
      </c>
      <c r="AH652" s="304">
        <f t="shared" ca="1" si="318"/>
        <v>38.001580173794665</v>
      </c>
    </row>
    <row r="653" spans="1:34" x14ac:dyDescent="0.2">
      <c r="A653" s="347">
        <f t="shared" ca="1" si="296"/>
        <v>0.01</v>
      </c>
      <c r="B653" s="304">
        <f t="shared" ca="1" si="297"/>
        <v>6.4899999999999061</v>
      </c>
      <c r="D653" s="306">
        <f t="shared" ca="1" si="298"/>
        <v>14.094771224568797</v>
      </c>
      <c r="E653" s="307">
        <f t="shared" ca="1" si="299"/>
        <v>24.711613670553689</v>
      </c>
      <c r="F653" s="304">
        <f t="shared" ca="1" si="300"/>
        <v>28.448662992759932</v>
      </c>
      <c r="G653" s="306">
        <f t="shared" ca="1" si="301"/>
        <v>170.59342033086944</v>
      </c>
      <c r="H653" s="307">
        <f t="shared" ca="1" si="302"/>
        <v>417.72777723986434</v>
      </c>
      <c r="I653" s="304">
        <f t="shared" ca="1" si="303"/>
        <v>451.21902767718296</v>
      </c>
      <c r="J653" s="306">
        <f t="shared" ca="1" si="304"/>
        <v>551.27163603926397</v>
      </c>
      <c r="K653" s="307">
        <f t="shared" ca="1" si="305"/>
        <v>1444.7698841802992</v>
      </c>
      <c r="L653" s="304">
        <f t="shared" ca="1" si="290"/>
        <v>1546.3700834327342</v>
      </c>
      <c r="M653" s="306">
        <f t="shared" ca="1" si="306"/>
        <v>1.1830831595784361</v>
      </c>
      <c r="N653" s="304">
        <f t="shared" ca="1" si="307"/>
        <v>67.785671856846861</v>
      </c>
      <c r="P653" s="310">
        <f t="shared" ca="1" si="308"/>
        <v>18</v>
      </c>
      <c r="Q653" s="304">
        <f t="shared" ca="1" si="309"/>
        <v>1838.0385820896502</v>
      </c>
      <c r="R653" s="306">
        <f t="shared" ca="1" si="310"/>
        <v>1.1053488656042361</v>
      </c>
      <c r="S653" s="307">
        <f t="shared" ca="1" si="311"/>
        <v>15.583456688748981</v>
      </c>
      <c r="T653" s="304">
        <f t="shared" ca="1" si="291"/>
        <v>152.87371011662751</v>
      </c>
      <c r="U653" s="311">
        <f t="shared" ca="1" si="292"/>
        <v>0</v>
      </c>
      <c r="V653" s="306">
        <f t="shared" ca="1" si="293"/>
        <v>1.0599394171465117</v>
      </c>
      <c r="W653" s="304">
        <f t="shared" ca="1" si="294"/>
        <v>1258.0054187243652</v>
      </c>
      <c r="Y653" s="314" t="str">
        <f t="shared" ca="1" si="312"/>
        <v/>
      </c>
      <c r="Z653" s="315" t="str">
        <f t="shared" ca="1" si="313"/>
        <v/>
      </c>
      <c r="AA653" s="316" t="str">
        <f t="shared" ca="1" si="314"/>
        <v/>
      </c>
      <c r="AC653" s="310" t="e">
        <f t="shared" ca="1" si="315"/>
        <v>#N/A</v>
      </c>
      <c r="AD653" s="323" t="e">
        <f t="shared" ca="1" si="316"/>
        <v>#N/A</v>
      </c>
      <c r="AE653" s="324">
        <f t="shared" ca="1" si="295"/>
        <v>1444.7698841802992</v>
      </c>
      <c r="AG653" s="306">
        <f t="shared" ca="1" si="317"/>
        <v>28.205958618013323</v>
      </c>
      <c r="AH653" s="304">
        <f t="shared" ca="1" si="318"/>
        <v>37.288126612795821</v>
      </c>
    </row>
    <row r="654" spans="1:34" x14ac:dyDescent="0.2">
      <c r="A654" s="347">
        <f t="shared" ca="1" si="296"/>
        <v>0.01</v>
      </c>
      <c r="B654" s="304">
        <f t="shared" ca="1" si="297"/>
        <v>6.4999999999999059</v>
      </c>
      <c r="D654" s="306">
        <f t="shared" ca="1" si="298"/>
        <v>13.828408288597936</v>
      </c>
      <c r="E654" s="307">
        <f t="shared" ca="1" si="299"/>
        <v>24.051272292669161</v>
      </c>
      <c r="F654" s="304">
        <f t="shared" ca="1" si="300"/>
        <v>27.74326178898724</v>
      </c>
      <c r="G654" s="306">
        <f t="shared" ca="1" si="301"/>
        <v>170.73170441375541</v>
      </c>
      <c r="H654" s="307">
        <f t="shared" ca="1" si="302"/>
        <v>417.968289962791</v>
      </c>
      <c r="I654" s="304">
        <f t="shared" ca="1" si="303"/>
        <v>451.49397150620484</v>
      </c>
      <c r="J654" s="306">
        <f t="shared" ca="1" si="304"/>
        <v>552.97826166298705</v>
      </c>
      <c r="K654" s="307">
        <f t="shared" ca="1" si="305"/>
        <v>1448.9483645163125</v>
      </c>
      <c r="L654" s="304">
        <f t="shared" ca="1" si="290"/>
        <v>1550.8824329736653</v>
      </c>
      <c r="M654" s="306">
        <f t="shared" ca="1" si="306"/>
        <v>1.1830010125376305</v>
      </c>
      <c r="N654" s="304">
        <f t="shared" ca="1" si="307"/>
        <v>67.780965178109213</v>
      </c>
      <c r="P654" s="310">
        <f t="shared" ca="1" si="308"/>
        <v>18</v>
      </c>
      <c r="Q654" s="304">
        <f t="shared" ca="1" si="309"/>
        <v>1827.5853980100485</v>
      </c>
      <c r="R654" s="306">
        <f t="shared" ca="1" si="310"/>
        <v>1.0990625910521514</v>
      </c>
      <c r="S654" s="307">
        <f t="shared" ca="1" si="311"/>
        <v>15.57246606283846</v>
      </c>
      <c r="T654" s="304">
        <f t="shared" ca="1" si="291"/>
        <v>152.76589207644531</v>
      </c>
      <c r="U654" s="311">
        <f t="shared" ca="1" si="292"/>
        <v>0</v>
      </c>
      <c r="V654" s="306">
        <f t="shared" ca="1" si="293"/>
        <v>1.0594942869582493</v>
      </c>
      <c r="W654" s="304">
        <f t="shared" ca="1" si="294"/>
        <v>1259.0100271993933</v>
      </c>
      <c r="Y654" s="314" t="str">
        <f t="shared" ca="1" si="312"/>
        <v/>
      </c>
      <c r="Z654" s="315" t="str">
        <f t="shared" ca="1" si="313"/>
        <v/>
      </c>
      <c r="AA654" s="316" t="str">
        <f t="shared" ca="1" si="314"/>
        <v/>
      </c>
      <c r="AC654" s="310" t="e">
        <f t="shared" ca="1" si="315"/>
        <v>#N/A</v>
      </c>
      <c r="AD654" s="323" t="e">
        <f t="shared" ca="1" si="316"/>
        <v>#N/A</v>
      </c>
      <c r="AE654" s="324">
        <f t="shared" ca="1" si="295"/>
        <v>1448.9483645163125</v>
      </c>
      <c r="AG654" s="306">
        <f t="shared" ca="1" si="317"/>
        <v>27.494230565043232</v>
      </c>
      <c r="AH654" s="304">
        <f t="shared" ca="1" si="318"/>
        <v>36.576093791907965</v>
      </c>
    </row>
    <row r="655" spans="1:34" x14ac:dyDescent="0.2">
      <c r="A655" s="347">
        <f t="shared" ca="1" si="296"/>
        <v>0.01</v>
      </c>
      <c r="B655" s="304">
        <f t="shared" ca="1" si="297"/>
        <v>6.5099999999999056</v>
      </c>
      <c r="D655" s="306">
        <f t="shared" ca="1" si="298"/>
        <v>13.562475955623649</v>
      </c>
      <c r="E655" s="307">
        <f t="shared" ca="1" si="299"/>
        <v>23.392297735491788</v>
      </c>
      <c r="F655" s="304">
        <f t="shared" ca="1" si="300"/>
        <v>27.039607012542987</v>
      </c>
      <c r="G655" s="306">
        <f t="shared" ca="1" si="301"/>
        <v>170.86732917331165</v>
      </c>
      <c r="H655" s="307">
        <f t="shared" ca="1" si="302"/>
        <v>418.2022129401459</v>
      </c>
      <c r="I655" s="304">
        <f t="shared" ca="1" si="303"/>
        <v>451.7618123379354</v>
      </c>
      <c r="J655" s="306">
        <f t="shared" ca="1" si="304"/>
        <v>554.68625683092239</v>
      </c>
      <c r="K655" s="307">
        <f t="shared" ca="1" si="305"/>
        <v>1453.1292170308272</v>
      </c>
      <c r="L655" s="304">
        <f t="shared" ca="1" si="290"/>
        <v>1555.3974941813829</v>
      </c>
      <c r="M655" s="306">
        <f t="shared" ca="1" si="306"/>
        <v>1.1829188976862988</v>
      </c>
      <c r="N655" s="304">
        <f t="shared" ca="1" si="307"/>
        <v>67.776260343692556</v>
      </c>
      <c r="P655" s="310">
        <f t="shared" ca="1" si="308"/>
        <v>18</v>
      </c>
      <c r="Q655" s="304">
        <f t="shared" ca="1" si="309"/>
        <v>1817.1322139304466</v>
      </c>
      <c r="R655" s="306">
        <f t="shared" ca="1" si="310"/>
        <v>1.0927763165000666</v>
      </c>
      <c r="S655" s="307">
        <f t="shared" ca="1" si="311"/>
        <v>15.56153829967346</v>
      </c>
      <c r="T655" s="304">
        <f t="shared" ca="1" si="291"/>
        <v>152.65869071979665</v>
      </c>
      <c r="U655" s="311">
        <f t="shared" ca="1" si="292"/>
        <v>0</v>
      </c>
      <c r="V655" s="306">
        <f t="shared" ca="1" si="293"/>
        <v>1.0590490776096551</v>
      </c>
      <c r="W655" s="304">
        <f t="shared" ca="1" si="294"/>
        <v>1259.9745656414141</v>
      </c>
      <c r="Y655" s="314" t="str">
        <f t="shared" ca="1" si="312"/>
        <v/>
      </c>
      <c r="Z655" s="315" t="str">
        <f t="shared" ca="1" si="313"/>
        <v/>
      </c>
      <c r="AA655" s="316" t="str">
        <f t="shared" ca="1" si="314"/>
        <v/>
      </c>
      <c r="AC655" s="310" t="e">
        <f t="shared" ca="1" si="315"/>
        <v>#N/A</v>
      </c>
      <c r="AD655" s="323" t="e">
        <f t="shared" ca="1" si="316"/>
        <v>#N/A</v>
      </c>
      <c r="AE655" s="324">
        <f t="shared" ca="1" si="295"/>
        <v>1453.1292170308272</v>
      </c>
      <c r="AG655" s="306">
        <f t="shared" ca="1" si="317"/>
        <v>26.783930864981627</v>
      </c>
      <c r="AH655" s="304">
        <f t="shared" ca="1" si="318"/>
        <v>35.865489386917794</v>
      </c>
    </row>
    <row r="656" spans="1:34" x14ac:dyDescent="0.2">
      <c r="A656" s="347">
        <f t="shared" ca="1" si="296"/>
        <v>0.01</v>
      </c>
      <c r="B656" s="304">
        <f t="shared" ca="1" si="297"/>
        <v>6.5199999999999054</v>
      </c>
      <c r="D656" s="306">
        <f t="shared" ca="1" si="298"/>
        <v>13.296977503192496</v>
      </c>
      <c r="E656" s="307">
        <f t="shared" ca="1" si="299"/>
        <v>22.734696778224126</v>
      </c>
      <c r="F656" s="304">
        <f t="shared" ca="1" si="300"/>
        <v>26.337730508117094</v>
      </c>
      <c r="G656" s="306">
        <f t="shared" ca="1" si="301"/>
        <v>171.00029894834358</v>
      </c>
      <c r="H656" s="307">
        <f t="shared" ca="1" si="302"/>
        <v>418.42955990792814</v>
      </c>
      <c r="I656" s="304">
        <f t="shared" ca="1" si="303"/>
        <v>452.02256453098147</v>
      </c>
      <c r="J656" s="306">
        <f t="shared" ca="1" si="304"/>
        <v>556.39559497153061</v>
      </c>
      <c r="K656" s="307">
        <f t="shared" ca="1" si="305"/>
        <v>1457.3123758950676</v>
      </c>
      <c r="L656" s="304">
        <f t="shared" ca="1" si="290"/>
        <v>1559.9151961054326</v>
      </c>
      <c r="M656" s="306">
        <f t="shared" ca="1" si="306"/>
        <v>1.1828368137060905</v>
      </c>
      <c r="N656" s="304">
        <f t="shared" ca="1" si="307"/>
        <v>67.771557278060996</v>
      </c>
      <c r="P656" s="310">
        <f t="shared" ca="1" si="308"/>
        <v>18</v>
      </c>
      <c r="Q656" s="304">
        <f t="shared" ca="1" si="309"/>
        <v>1806.6790298508449</v>
      </c>
      <c r="R656" s="306">
        <f t="shared" ca="1" si="310"/>
        <v>1.0864900419479819</v>
      </c>
      <c r="S656" s="307">
        <f t="shared" ca="1" si="311"/>
        <v>15.550673399253981</v>
      </c>
      <c r="T656" s="304">
        <f t="shared" ca="1" si="291"/>
        <v>152.55210604668156</v>
      </c>
      <c r="U656" s="311">
        <f t="shared" ca="1" si="292"/>
        <v>0</v>
      </c>
      <c r="V656" s="306">
        <f t="shared" ca="1" si="293"/>
        <v>1.058603796300515</v>
      </c>
      <c r="W656" s="304">
        <f t="shared" ca="1" si="294"/>
        <v>1260.8991007463903</v>
      </c>
      <c r="Y656" s="314" t="str">
        <f t="shared" ca="1" si="312"/>
        <v/>
      </c>
      <c r="Z656" s="315" t="str">
        <f t="shared" ca="1" si="313"/>
        <v/>
      </c>
      <c r="AA656" s="316" t="str">
        <f t="shared" ca="1" si="314"/>
        <v/>
      </c>
      <c r="AC656" s="310" t="e">
        <f t="shared" ca="1" si="315"/>
        <v>#N/A</v>
      </c>
      <c r="AD656" s="323" t="e">
        <f t="shared" ca="1" si="316"/>
        <v>#N/A</v>
      </c>
      <c r="AE656" s="324">
        <f t="shared" ca="1" si="295"/>
        <v>1457.3123758950676</v>
      </c>
      <c r="AG656" s="306">
        <f t="shared" ca="1" si="317"/>
        <v>26.075067023179372</v>
      </c>
      <c r="AH656" s="304">
        <f t="shared" ca="1" si="318"/>
        <v>35.156320898338599</v>
      </c>
    </row>
    <row r="657" spans="1:34" x14ac:dyDescent="0.2">
      <c r="A657" s="347">
        <f t="shared" ca="1" si="296"/>
        <v>0.01</v>
      </c>
      <c r="B657" s="304">
        <f t="shared" ca="1" si="297"/>
        <v>6.5299999999999052</v>
      </c>
      <c r="D657" s="306">
        <f t="shared" ca="1" si="298"/>
        <v>13.031916141216115</v>
      </c>
      <c r="E657" s="307">
        <f t="shared" ca="1" si="299"/>
        <v>22.078476039292354</v>
      </c>
      <c r="F657" s="304">
        <f t="shared" ca="1" si="300"/>
        <v>25.637666479796788</v>
      </c>
      <c r="G657" s="306">
        <f t="shared" ca="1" si="301"/>
        <v>171.13061810975574</v>
      </c>
      <c r="H657" s="307">
        <f t="shared" ca="1" si="302"/>
        <v>418.65034466832105</v>
      </c>
      <c r="I657" s="304">
        <f t="shared" ca="1" si="303"/>
        <v>452.27624251725967</v>
      </c>
      <c r="J657" s="306">
        <f t="shared" ca="1" si="304"/>
        <v>558.10624955682113</v>
      </c>
      <c r="K657" s="307">
        <f t="shared" ca="1" si="305"/>
        <v>1461.4977754179488</v>
      </c>
      <c r="L657" s="304">
        <f t="shared" ca="1" si="290"/>
        <v>1564.4354679391522</v>
      </c>
      <c r="M657" s="306">
        <f t="shared" ca="1" si="306"/>
        <v>1.1827547592847401</v>
      </c>
      <c r="N657" s="304">
        <f t="shared" ca="1" si="307"/>
        <v>67.766855906027217</v>
      </c>
      <c r="P657" s="310">
        <f t="shared" ca="1" si="308"/>
        <v>18</v>
      </c>
      <c r="Q657" s="304">
        <f t="shared" ca="1" si="309"/>
        <v>1796.2258457712433</v>
      </c>
      <c r="R657" s="306">
        <f t="shared" ca="1" si="310"/>
        <v>1.0802037673958973</v>
      </c>
      <c r="S657" s="307">
        <f t="shared" ca="1" si="311"/>
        <v>15.539871361580023</v>
      </c>
      <c r="T657" s="304">
        <f t="shared" ca="1" si="291"/>
        <v>152.44613805710003</v>
      </c>
      <c r="U657" s="311">
        <f t="shared" ca="1" si="292"/>
        <v>0</v>
      </c>
      <c r="V657" s="306">
        <f t="shared" ca="1" si="293"/>
        <v>1.0581584502049395</v>
      </c>
      <c r="W657" s="304">
        <f t="shared" ca="1" si="294"/>
        <v>1261.7837016753376</v>
      </c>
      <c r="Y657" s="314" t="str">
        <f t="shared" ca="1" si="312"/>
        <v/>
      </c>
      <c r="Z657" s="315" t="str">
        <f t="shared" ca="1" si="313"/>
        <v/>
      </c>
      <c r="AA657" s="316" t="str">
        <f t="shared" ca="1" si="314"/>
        <v/>
      </c>
      <c r="AC657" s="310" t="e">
        <f t="shared" ca="1" si="315"/>
        <v>#N/A</v>
      </c>
      <c r="AD657" s="323" t="e">
        <f t="shared" ca="1" si="316"/>
        <v>#N/A</v>
      </c>
      <c r="AE657" s="324">
        <f t="shared" ca="1" si="295"/>
        <v>1461.4977754179488</v>
      </c>
      <c r="AG657" s="306">
        <f t="shared" ca="1" si="317"/>
        <v>25.367646370650618</v>
      </c>
      <c r="AH657" s="304">
        <f t="shared" ca="1" si="318"/>
        <v>34.448595652366031</v>
      </c>
    </row>
    <row r="658" spans="1:34" x14ac:dyDescent="0.2">
      <c r="A658" s="347">
        <f t="shared" ca="1" si="296"/>
        <v>0.01</v>
      </c>
      <c r="B658" s="304">
        <f t="shared" ca="1" si="297"/>
        <v>6.539999999999905</v>
      </c>
      <c r="D658" s="306">
        <f t="shared" ca="1" si="298"/>
        <v>12.76729501231228</v>
      </c>
      <c r="E658" s="307">
        <f t="shared" ca="1" si="299"/>
        <v>21.423641977256224</v>
      </c>
      <c r="F658" s="304">
        <f t="shared" ca="1" si="300"/>
        <v>24.939451828399697</v>
      </c>
      <c r="G658" s="306">
        <f t="shared" ca="1" si="301"/>
        <v>171.25829105987887</v>
      </c>
      <c r="H658" s="307">
        <f t="shared" ca="1" si="302"/>
        <v>418.86458108809364</v>
      </c>
      <c r="I658" s="304">
        <f t="shared" ca="1" si="303"/>
        <v>452.52286080026317</v>
      </c>
      <c r="J658" s="306">
        <f t="shared" ca="1" si="304"/>
        <v>559.81819410266928</v>
      </c>
      <c r="K658" s="307">
        <f t="shared" ca="1" si="305"/>
        <v>1465.6853500467309</v>
      </c>
      <c r="L658" s="304">
        <f t="shared" ca="1" si="290"/>
        <v>1568.9582390203959</v>
      </c>
      <c r="M658" s="306">
        <f t="shared" ca="1" si="306"/>
        <v>1.1826727331159406</v>
      </c>
      <c r="N658" s="304">
        <f t="shared" ca="1" si="307"/>
        <v>67.762156152745391</v>
      </c>
      <c r="P658" s="310">
        <f t="shared" ca="1" si="308"/>
        <v>18</v>
      </c>
      <c r="Q658" s="304">
        <f t="shared" ca="1" si="309"/>
        <v>1785.7726616916414</v>
      </c>
      <c r="R658" s="306">
        <f t="shared" ca="1" si="310"/>
        <v>1.0739174928438124</v>
      </c>
      <c r="S658" s="307">
        <f t="shared" ca="1" si="311"/>
        <v>15.529132186651584</v>
      </c>
      <c r="T658" s="304">
        <f t="shared" ca="1" si="291"/>
        <v>152.34078675105204</v>
      </c>
      <c r="U658" s="311">
        <f t="shared" ca="1" si="292"/>
        <v>0</v>
      </c>
      <c r="V658" s="306">
        <f t="shared" ca="1" si="293"/>
        <v>1.0577130464713222</v>
      </c>
      <c r="W658" s="304">
        <f t="shared" ca="1" si="294"/>
        <v>1262.6284400252084</v>
      </c>
      <c r="Y658" s="314" t="str">
        <f t="shared" ca="1" si="312"/>
        <v/>
      </c>
      <c r="Z658" s="315" t="str">
        <f t="shared" ca="1" si="313"/>
        <v/>
      </c>
      <c r="AA658" s="316" t="str">
        <f t="shared" ca="1" si="314"/>
        <v/>
      </c>
      <c r="AC658" s="310" t="e">
        <f t="shared" ca="1" si="315"/>
        <v>#N/A</v>
      </c>
      <c r="AD658" s="323" t="e">
        <f t="shared" ca="1" si="316"/>
        <v>#N/A</v>
      </c>
      <c r="AE658" s="324">
        <f t="shared" ca="1" si="295"/>
        <v>1465.6853500467309</v>
      </c>
      <c r="AG658" s="306">
        <f t="shared" ca="1" si="317"/>
        <v>24.661676065043316</v>
      </c>
      <c r="AH658" s="304">
        <f t="shared" ca="1" si="318"/>
        <v>33.742320801848173</v>
      </c>
    </row>
    <row r="659" spans="1:34" x14ac:dyDescent="0.2">
      <c r="A659" s="347">
        <f t="shared" ca="1" si="296"/>
        <v>0.01</v>
      </c>
      <c r="B659" s="304">
        <f t="shared" ca="1" si="297"/>
        <v>6.5499999999999048</v>
      </c>
      <c r="D659" s="306">
        <f t="shared" ca="1" si="298"/>
        <v>12.503117192150949</v>
      </c>
      <c r="E659" s="307">
        <f t="shared" ca="1" si="299"/>
        <v>20.770200891731086</v>
      </c>
      <c r="F659" s="304">
        <f t="shared" ca="1" si="300"/>
        <v>24.243126543487072</v>
      </c>
      <c r="G659" s="306">
        <f t="shared" ca="1" si="301"/>
        <v>171.38332223180038</v>
      </c>
      <c r="H659" s="307">
        <f t="shared" ca="1" si="302"/>
        <v>419.07228309701094</v>
      </c>
      <c r="I659" s="304">
        <f t="shared" ca="1" si="303"/>
        <v>452.76243395333762</v>
      </c>
      <c r="J659" s="306">
        <f t="shared" ca="1" si="304"/>
        <v>561.53140216912766</v>
      </c>
      <c r="K659" s="307">
        <f t="shared" ca="1" si="305"/>
        <v>1469.8750343676566</v>
      </c>
      <c r="L659" s="304">
        <f t="shared" ca="1" si="290"/>
        <v>1573.4834388322447</v>
      </c>
      <c r="M659" s="306">
        <f t="shared" ca="1" si="306"/>
        <v>1.1825907338992174</v>
      </c>
      <c r="N659" s="304">
        <f t="shared" ca="1" si="307"/>
        <v>67.75745794370377</v>
      </c>
      <c r="P659" s="310">
        <f t="shared" ca="1" si="308"/>
        <v>18</v>
      </c>
      <c r="Q659" s="304">
        <f t="shared" ca="1" si="309"/>
        <v>1775.3194776120397</v>
      </c>
      <c r="R659" s="306">
        <f t="shared" ca="1" si="310"/>
        <v>1.0676312182917278</v>
      </c>
      <c r="S659" s="307">
        <f t="shared" ca="1" si="311"/>
        <v>15.518455874468666</v>
      </c>
      <c r="T659" s="304">
        <f t="shared" ca="1" si="291"/>
        <v>152.23605212853761</v>
      </c>
      <c r="U659" s="311">
        <f t="shared" ca="1" si="292"/>
        <v>0</v>
      </c>
      <c r="V659" s="306">
        <f t="shared" ca="1" si="293"/>
        <v>1.0572675922223027</v>
      </c>
      <c r="W659" s="304">
        <f t="shared" ca="1" si="294"/>
        <v>1263.4333897997958</v>
      </c>
      <c r="Y659" s="314" t="str">
        <f t="shared" ca="1" si="312"/>
        <v/>
      </c>
      <c r="Z659" s="315" t="str">
        <f t="shared" ca="1" si="313"/>
        <v/>
      </c>
      <c r="AA659" s="316" t="str">
        <f t="shared" ca="1" si="314"/>
        <v/>
      </c>
      <c r="AC659" s="310" t="e">
        <f t="shared" ca="1" si="315"/>
        <v>#N/A</v>
      </c>
      <c r="AD659" s="323" t="e">
        <f t="shared" ca="1" si="316"/>
        <v>#N/A</v>
      </c>
      <c r="AE659" s="324">
        <f t="shared" ca="1" si="295"/>
        <v>1469.8750343676566</v>
      </c>
      <c r="AG659" s="306">
        <f t="shared" ca="1" si="317"/>
        <v>23.95716309162286</v>
      </c>
      <c r="AH659" s="304">
        <f t="shared" ca="1" si="318"/>
        <v>33.037503327268716</v>
      </c>
    </row>
    <row r="660" spans="1:34" x14ac:dyDescent="0.2">
      <c r="A660" s="347">
        <f t="shared" ca="1" si="296"/>
        <v>0.01</v>
      </c>
      <c r="B660" s="304">
        <f t="shared" ca="1" si="297"/>
        <v>6.5599999999999046</v>
      </c>
      <c r="D660" s="306">
        <f t="shared" ca="1" si="298"/>
        <v>12.239385689805397</v>
      </c>
      <c r="E660" s="307">
        <f t="shared" ca="1" si="299"/>
        <v>20.118158924322124</v>
      </c>
      <c r="F660" s="304">
        <f t="shared" ca="1" si="300"/>
        <v>23.548734160631543</v>
      </c>
      <c r="G660" s="306">
        <f t="shared" ca="1" si="301"/>
        <v>171.50571608869842</v>
      </c>
      <c r="H660" s="307">
        <f t="shared" ca="1" si="302"/>
        <v>419.27346468625416</v>
      </c>
      <c r="I660" s="304">
        <f t="shared" ca="1" si="303"/>
        <v>452.99497661796738</v>
      </c>
      <c r="J660" s="306">
        <f t="shared" ca="1" si="304"/>
        <v>563.24584736073018</v>
      </c>
      <c r="K660" s="307">
        <f t="shared" ca="1" si="305"/>
        <v>1474.0667631065728</v>
      </c>
      <c r="L660" s="304">
        <f t="shared" ca="1" si="290"/>
        <v>1578.0109970036951</v>
      </c>
      <c r="M660" s="306">
        <f t="shared" ca="1" si="306"/>
        <v>1.1825087603398063</v>
      </c>
      <c r="N660" s="304">
        <f t="shared" ca="1" si="307"/>
        <v>67.752761204717856</v>
      </c>
      <c r="P660" s="310">
        <f t="shared" ca="1" si="308"/>
        <v>18</v>
      </c>
      <c r="Q660" s="304">
        <f t="shared" ca="1" si="309"/>
        <v>1764.8662935324378</v>
      </c>
      <c r="R660" s="306">
        <f t="shared" ca="1" si="310"/>
        <v>1.0613449437396429</v>
      </c>
      <c r="S660" s="307">
        <f t="shared" ca="1" si="311"/>
        <v>15.507842425031269</v>
      </c>
      <c r="T660" s="304">
        <f t="shared" ca="1" si="291"/>
        <v>152.13193418955674</v>
      </c>
      <c r="U660" s="311">
        <f t="shared" ca="1" si="292"/>
        <v>0</v>
      </c>
      <c r="V660" s="306">
        <f t="shared" ca="1" si="293"/>
        <v>1.0568220945547324</v>
      </c>
      <c r="W660" s="304">
        <f t="shared" ca="1" si="294"/>
        <v>1264.1986273806713</v>
      </c>
      <c r="Y660" s="314" t="str">
        <f t="shared" ca="1" si="312"/>
        <v/>
      </c>
      <c r="Z660" s="315" t="str">
        <f t="shared" ca="1" si="313"/>
        <v/>
      </c>
      <c r="AA660" s="316" t="str">
        <f t="shared" ca="1" si="314"/>
        <v/>
      </c>
      <c r="AC660" s="310" t="e">
        <f t="shared" ca="1" si="315"/>
        <v>#N/A</v>
      </c>
      <c r="AD660" s="323" t="e">
        <f t="shared" ca="1" si="316"/>
        <v>#N/A</v>
      </c>
      <c r="AE660" s="324">
        <f t="shared" ca="1" si="295"/>
        <v>1474.0667631065728</v>
      </c>
      <c r="AG660" s="306">
        <f t="shared" ca="1" si="317"/>
        <v>23.254114264268829</v>
      </c>
      <c r="AH660" s="304">
        <f t="shared" ca="1" si="318"/>
        <v>32.334150037743299</v>
      </c>
    </row>
    <row r="661" spans="1:34" x14ac:dyDescent="0.2">
      <c r="A661" s="347">
        <f t="shared" ca="1" si="296"/>
        <v>0.01</v>
      </c>
      <c r="B661" s="304">
        <f t="shared" ca="1" si="297"/>
        <v>6.5699999999999044</v>
      </c>
      <c r="D661" s="306">
        <f t="shared" ca="1" si="298"/>
        <v>11.976103448108034</v>
      </c>
      <c r="E661" s="307">
        <f t="shared" ca="1" si="299"/>
        <v>19.467522059570193</v>
      </c>
      <c r="F661" s="304">
        <f t="shared" ca="1" si="300"/>
        <v>22.856322296897137</v>
      </c>
      <c r="G661" s="306">
        <f t="shared" ca="1" si="301"/>
        <v>171.62547712317951</v>
      </c>
      <c r="H661" s="307">
        <f t="shared" ca="1" si="302"/>
        <v>419.46813990684984</v>
      </c>
      <c r="I661" s="304">
        <f t="shared" ca="1" si="303"/>
        <v>453.22050350207189</v>
      </c>
      <c r="J661" s="306">
        <f t="shared" ca="1" si="304"/>
        <v>564.96150332678963</v>
      </c>
      <c r="K661" s="307">
        <f t="shared" ca="1" si="305"/>
        <v>1478.2604711295382</v>
      </c>
      <c r="L661" s="304">
        <f t="shared" ca="1" si="290"/>
        <v>1582.5408433103364</v>
      </c>
      <c r="M661" s="306">
        <f t="shared" ca="1" si="306"/>
        <v>1.1824268111485285</v>
      </c>
      <c r="N661" s="304">
        <f t="shared" ca="1" si="307"/>
        <v>67.748065861923124</v>
      </c>
      <c r="P661" s="310">
        <f t="shared" ca="1" si="308"/>
        <v>18</v>
      </c>
      <c r="Q661" s="304">
        <f t="shared" ca="1" si="309"/>
        <v>1754.4131094528361</v>
      </c>
      <c r="R661" s="306">
        <f t="shared" ca="1" si="310"/>
        <v>1.0550586691875583</v>
      </c>
      <c r="S661" s="307">
        <f t="shared" ca="1" si="311"/>
        <v>15.497291838339393</v>
      </c>
      <c r="T661" s="304">
        <f t="shared" ca="1" si="291"/>
        <v>152.02843293410945</v>
      </c>
      <c r="U661" s="311">
        <f t="shared" ca="1" si="292"/>
        <v>0</v>
      </c>
      <c r="V661" s="306">
        <f t="shared" ca="1" si="293"/>
        <v>1.0563765605396394</v>
      </c>
      <c r="W661" s="304">
        <f t="shared" ca="1" si="294"/>
        <v>1264.9242314981495</v>
      </c>
      <c r="Y661" s="314" t="str">
        <f t="shared" ca="1" si="312"/>
        <v/>
      </c>
      <c r="Z661" s="315" t="str">
        <f t="shared" ca="1" si="313"/>
        <v/>
      </c>
      <c r="AA661" s="316" t="str">
        <f t="shared" ca="1" si="314"/>
        <v/>
      </c>
      <c r="AC661" s="310" t="e">
        <f t="shared" ca="1" si="315"/>
        <v>#N/A</v>
      </c>
      <c r="AD661" s="323" t="e">
        <f t="shared" ca="1" si="316"/>
        <v>#N/A</v>
      </c>
      <c r="AE661" s="324">
        <f t="shared" ca="1" si="295"/>
        <v>1478.2604711295382</v>
      </c>
      <c r="AG661" s="306">
        <f t="shared" ca="1" si="317"/>
        <v>22.552536226484431</v>
      </c>
      <c r="AH661" s="304">
        <f t="shared" ca="1" si="318"/>
        <v>31.632267572028482</v>
      </c>
    </row>
    <row r="662" spans="1:34" x14ac:dyDescent="0.2">
      <c r="A662" s="347">
        <f t="shared" ca="1" si="296"/>
        <v>0.01</v>
      </c>
      <c r="B662" s="304">
        <f t="shared" ca="1" si="297"/>
        <v>6.5799999999999041</v>
      </c>
      <c r="D662" s="306">
        <f t="shared" ca="1" si="298"/>
        <v>11.713273344011162</v>
      </c>
      <c r="E662" s="307">
        <f t="shared" ca="1" si="299"/>
        <v>18.818296125909271</v>
      </c>
      <c r="F662" s="304">
        <f t="shared" ca="1" si="300"/>
        <v>22.165943280490779</v>
      </c>
      <c r="G662" s="306">
        <f t="shared" ca="1" si="301"/>
        <v>171.74260985661962</v>
      </c>
      <c r="H662" s="307">
        <f t="shared" ca="1" si="302"/>
        <v>419.65632286810893</v>
      </c>
      <c r="I662" s="304">
        <f t="shared" ca="1" si="303"/>
        <v>453.43902937831183</v>
      </c>
      <c r="J662" s="306">
        <f t="shared" ca="1" si="304"/>
        <v>566.67834376168867</v>
      </c>
      <c r="K662" s="307">
        <f t="shared" ca="1" si="305"/>
        <v>1482.456093443413</v>
      </c>
      <c r="L662" s="304">
        <f t="shared" ca="1" si="290"/>
        <v>1587.0729076750054</v>
      </c>
      <c r="M662" s="306">
        <f t="shared" ca="1" si="306"/>
        <v>1.1823448850416709</v>
      </c>
      <c r="N662" s="304">
        <f t="shared" ca="1" si="307"/>
        <v>67.743371841768237</v>
      </c>
      <c r="P662" s="310">
        <f t="shared" ca="1" si="308"/>
        <v>18</v>
      </c>
      <c r="Q662" s="304">
        <f t="shared" ca="1" si="309"/>
        <v>1743.9599253732345</v>
      </c>
      <c r="R662" s="306">
        <f t="shared" ca="1" si="310"/>
        <v>1.0487723946354737</v>
      </c>
      <c r="S662" s="307">
        <f t="shared" ca="1" si="311"/>
        <v>15.486804114393038</v>
      </c>
      <c r="T662" s="304">
        <f t="shared" ca="1" si="291"/>
        <v>151.92554836219571</v>
      </c>
      <c r="U662" s="311">
        <f t="shared" ca="1" si="292"/>
        <v>0</v>
      </c>
      <c r="V662" s="306">
        <f t="shared" ca="1" si="293"/>
        <v>1.0559309972221997</v>
      </c>
      <c r="W662" s="304">
        <f t="shared" ca="1" si="294"/>
        <v>1265.6102832022982</v>
      </c>
      <c r="Y662" s="314" t="str">
        <f t="shared" ca="1" si="312"/>
        <v/>
      </c>
      <c r="Z662" s="315" t="str">
        <f t="shared" ca="1" si="313"/>
        <v/>
      </c>
      <c r="AA662" s="316" t="str">
        <f t="shared" ca="1" si="314"/>
        <v/>
      </c>
      <c r="AC662" s="310" t="e">
        <f t="shared" ca="1" si="315"/>
        <v>#N/A</v>
      </c>
      <c r="AD662" s="323" t="e">
        <f t="shared" ca="1" si="316"/>
        <v>#N/A</v>
      </c>
      <c r="AE662" s="324">
        <f t="shared" ca="1" si="295"/>
        <v>1482.456093443413</v>
      </c>
      <c r="AG662" s="306">
        <f t="shared" ca="1" si="317"/>
        <v>21.852435452418362</v>
      </c>
      <c r="AH662" s="304">
        <f t="shared" ca="1" si="318"/>
        <v>30.931862399543199</v>
      </c>
    </row>
    <row r="663" spans="1:34" x14ac:dyDescent="0.2">
      <c r="A663" s="347">
        <f t="shared" ca="1" si="296"/>
        <v>0.01</v>
      </c>
      <c r="B663" s="304">
        <f t="shared" ca="1" si="297"/>
        <v>6.5899999999999039</v>
      </c>
      <c r="D663" s="306">
        <f t="shared" ca="1" si="298"/>
        <v>11.450898188952127</v>
      </c>
      <c r="E663" s="307">
        <f t="shared" ca="1" si="299"/>
        <v>18.170486796634748</v>
      </c>
      <c r="F663" s="304">
        <f t="shared" ca="1" si="300"/>
        <v>21.477654894341345</v>
      </c>
      <c r="G663" s="306">
        <f t="shared" ca="1" si="301"/>
        <v>171.85711883850914</v>
      </c>
      <c r="H663" s="307">
        <f t="shared" ca="1" si="302"/>
        <v>419.83802773607528</v>
      </c>
      <c r="I663" s="304">
        <f t="shared" ca="1" si="303"/>
        <v>453.65056908240615</v>
      </c>
      <c r="J663" s="306">
        <f t="shared" ca="1" si="304"/>
        <v>568.39634240516432</v>
      </c>
      <c r="K663" s="307">
        <f t="shared" ca="1" si="305"/>
        <v>1486.6535651964339</v>
      </c>
      <c r="L663" s="304">
        <f t="shared" ca="1" si="290"/>
        <v>1591.6071201684279</v>
      </c>
      <c r="M663" s="306">
        <f t="shared" ca="1" si="306"/>
        <v>1.1822629807408658</v>
      </c>
      <c r="N663" s="304">
        <f t="shared" ca="1" si="307"/>
        <v>67.738679071008136</v>
      </c>
      <c r="P663" s="310">
        <f t="shared" ca="1" si="308"/>
        <v>18</v>
      </c>
      <c r="Q663" s="304">
        <f t="shared" ca="1" si="309"/>
        <v>1733.5067412936326</v>
      </c>
      <c r="R663" s="306">
        <f t="shared" ca="1" si="310"/>
        <v>1.0424861200833888</v>
      </c>
      <c r="S663" s="307">
        <f t="shared" ca="1" si="311"/>
        <v>15.476379253192205</v>
      </c>
      <c r="T663" s="304">
        <f t="shared" ca="1" si="291"/>
        <v>151.82328047381554</v>
      </c>
      <c r="U663" s="311">
        <f t="shared" ca="1" si="292"/>
        <v>0</v>
      </c>
      <c r="V663" s="306">
        <f t="shared" ca="1" si="293"/>
        <v>1.0554854116217067</v>
      </c>
      <c r="W663" s="304">
        <f t="shared" ca="1" si="294"/>
        <v>1266.2568658339881</v>
      </c>
      <c r="Y663" s="314" t="str">
        <f t="shared" ca="1" si="312"/>
        <v/>
      </c>
      <c r="Z663" s="315" t="str">
        <f t="shared" ca="1" si="313"/>
        <v/>
      </c>
      <c r="AA663" s="316" t="str">
        <f t="shared" ca="1" si="314"/>
        <v/>
      </c>
      <c r="AC663" s="310" t="e">
        <f t="shared" ca="1" si="315"/>
        <v>#N/A</v>
      </c>
      <c r="AD663" s="323" t="e">
        <f t="shared" ca="1" si="316"/>
        <v>#N/A</v>
      </c>
      <c r="AE663" s="324">
        <f t="shared" ca="1" si="295"/>
        <v>1486.6535651964339</v>
      </c>
      <c r="AG663" s="306">
        <f t="shared" ca="1" si="317"/>
        <v>21.153818247898545</v>
      </c>
      <c r="AH663" s="304">
        <f t="shared" ca="1" si="318"/>
        <v>30.23294082140205</v>
      </c>
    </row>
    <row r="664" spans="1:34" x14ac:dyDescent="0.2">
      <c r="A664" s="347">
        <f t="shared" ca="1" si="296"/>
        <v>0.01</v>
      </c>
      <c r="B664" s="304">
        <f t="shared" ca="1" si="297"/>
        <v>6.5999999999999037</v>
      </c>
      <c r="D664" s="306">
        <f t="shared" ca="1" si="298"/>
        <v>11.188980729223076</v>
      </c>
      <c r="E664" s="307">
        <f t="shared" ca="1" si="299"/>
        <v>17.524099590882678</v>
      </c>
      <c r="F664" s="304">
        <f t="shared" ca="1" si="300"/>
        <v>20.79152125819801</v>
      </c>
      <c r="G664" s="306">
        <f t="shared" ca="1" si="301"/>
        <v>171.96900864580138</v>
      </c>
      <c r="H664" s="307">
        <f t="shared" ca="1" si="302"/>
        <v>420.01326873198411</v>
      </c>
      <c r="I664" s="304">
        <f t="shared" ca="1" si="303"/>
        <v>453.85513751145925</v>
      </c>
      <c r="J664" s="306">
        <f t="shared" ca="1" si="304"/>
        <v>570.1154730425859</v>
      </c>
      <c r="K664" s="307">
        <f t="shared" ca="1" si="305"/>
        <v>1490.8528216787743</v>
      </c>
      <c r="L664" s="304">
        <f t="shared" ca="1" si="290"/>
        <v>1596.1434110098423</v>
      </c>
      <c r="M664" s="306">
        <f t="shared" ca="1" si="306"/>
        <v>1.1821810969729714</v>
      </c>
      <c r="N664" s="304">
        <f t="shared" ca="1" si="307"/>
        <v>67.733987476697166</v>
      </c>
      <c r="P664" s="310">
        <f t="shared" ca="1" si="308"/>
        <v>18</v>
      </c>
      <c r="Q664" s="304">
        <f t="shared" ca="1" si="309"/>
        <v>1723.0535572140309</v>
      </c>
      <c r="R664" s="306">
        <f t="shared" ca="1" si="310"/>
        <v>1.0361998455313042</v>
      </c>
      <c r="S664" s="307">
        <f t="shared" ca="1" si="311"/>
        <v>15.466017254736892</v>
      </c>
      <c r="T664" s="304">
        <f t="shared" ca="1" si="291"/>
        <v>151.72162926896891</v>
      </c>
      <c r="U664" s="311">
        <f t="shared" ca="1" si="292"/>
        <v>0</v>
      </c>
      <c r="V664" s="306">
        <f t="shared" ca="1" si="293"/>
        <v>1.0550398107315468</v>
      </c>
      <c r="W664" s="304">
        <f t="shared" ca="1" si="294"/>
        <v>1266.8640649959955</v>
      </c>
      <c r="Y664" s="314" t="str">
        <f t="shared" ca="1" si="312"/>
        <v/>
      </c>
      <c r="Z664" s="315" t="str">
        <f t="shared" ca="1" si="313"/>
        <v/>
      </c>
      <c r="AA664" s="316" t="str">
        <f t="shared" ca="1" si="314"/>
        <v/>
      </c>
      <c r="AC664" s="310" t="e">
        <f t="shared" ca="1" si="315"/>
        <v>#N/A</v>
      </c>
      <c r="AD664" s="323" t="e">
        <f t="shared" ca="1" si="316"/>
        <v>#N/A</v>
      </c>
      <c r="AE664" s="324">
        <f t="shared" ca="1" si="295"/>
        <v>1490.8528216787743</v>
      </c>
      <c r="AG664" s="306">
        <f t="shared" ca="1" si="317"/>
        <v>20.456690751477637</v>
      </c>
      <c r="AH664" s="304">
        <f t="shared" ca="1" si="318"/>
        <v>29.535508971460402</v>
      </c>
    </row>
    <row r="665" spans="1:34" x14ac:dyDescent="0.2">
      <c r="A665" s="347">
        <f t="shared" ca="1" si="296"/>
        <v>0.01</v>
      </c>
      <c r="B665" s="304">
        <f t="shared" ca="1" si="297"/>
        <v>6.6099999999999035</v>
      </c>
      <c r="D665" s="306">
        <f t="shared" ca="1" si="298"/>
        <v>10.927523646344916</v>
      </c>
      <c r="E665" s="307">
        <f t="shared" ca="1" si="299"/>
        <v>16.879139874619128</v>
      </c>
      <c r="F665" s="304">
        <f t="shared" ca="1" si="300"/>
        <v>20.10761388003024</v>
      </c>
      <c r="G665" s="306">
        <f t="shared" ca="1" si="301"/>
        <v>172.07828388226483</v>
      </c>
      <c r="H665" s="307">
        <f t="shared" ca="1" si="302"/>
        <v>420.18206013073029</v>
      </c>
      <c r="I665" s="304">
        <f t="shared" ca="1" si="303"/>
        <v>454.05274962229879</v>
      </c>
      <c r="J665" s="306">
        <f t="shared" ca="1" si="304"/>
        <v>571.83570950522619</v>
      </c>
      <c r="K665" s="307">
        <f t="shared" ca="1" si="305"/>
        <v>1495.0537983230879</v>
      </c>
      <c r="L665" s="304">
        <f t="shared" ca="1" si="290"/>
        <v>1600.6817105676062</v>
      </c>
      <c r="M665" s="306">
        <f t="shared" ca="1" si="306"/>
        <v>1.1820992324699537</v>
      </c>
      <c r="N665" s="304">
        <f t="shared" ca="1" si="307"/>
        <v>67.72929698618232</v>
      </c>
      <c r="P665" s="310">
        <f t="shared" ca="1" si="308"/>
        <v>18</v>
      </c>
      <c r="Q665" s="304">
        <f t="shared" ca="1" si="309"/>
        <v>1712.6003731344292</v>
      </c>
      <c r="R665" s="306">
        <f t="shared" ca="1" si="310"/>
        <v>1.0299135709792195</v>
      </c>
      <c r="S665" s="307">
        <f t="shared" ca="1" si="311"/>
        <v>15.4557181190271</v>
      </c>
      <c r="T665" s="304">
        <f t="shared" ca="1" si="291"/>
        <v>151.62059474765587</v>
      </c>
      <c r="U665" s="311">
        <f t="shared" ca="1" si="292"/>
        <v>0</v>
      </c>
      <c r="V665" s="306">
        <f t="shared" ca="1" si="293"/>
        <v>1.0545942015191736</v>
      </c>
      <c r="W665" s="304">
        <f t="shared" ca="1" si="294"/>
        <v>1267.4319685241555</v>
      </c>
      <c r="Y665" s="314" t="str">
        <f t="shared" ca="1" si="312"/>
        <v/>
      </c>
      <c r="Z665" s="315" t="str">
        <f t="shared" ca="1" si="313"/>
        <v/>
      </c>
      <c r="AA665" s="316" t="str">
        <f t="shared" ca="1" si="314"/>
        <v/>
      </c>
      <c r="AC665" s="310" t="e">
        <f t="shared" ca="1" si="315"/>
        <v>#N/A</v>
      </c>
      <c r="AD665" s="323" t="e">
        <f t="shared" ca="1" si="316"/>
        <v>#N/A</v>
      </c>
      <c r="AE665" s="324">
        <f t="shared" ca="1" si="295"/>
        <v>1495.0537983230879</v>
      </c>
      <c r="AG665" s="306">
        <f t="shared" ca="1" si="317"/>
        <v>19.761058935489501</v>
      </c>
      <c r="AH665" s="304">
        <f t="shared" ca="1" si="318"/>
        <v>28.839572817370438</v>
      </c>
    </row>
    <row r="666" spans="1:34" x14ac:dyDescent="0.2">
      <c r="A666" s="347">
        <f t="shared" ca="1" si="296"/>
        <v>0.01</v>
      </c>
      <c r="B666" s="304">
        <f t="shared" ca="1" si="297"/>
        <v>6.6199999999999033</v>
      </c>
      <c r="D666" s="306">
        <f t="shared" ca="1" si="298"/>
        <v>10.666529557445635</v>
      </c>
      <c r="E666" s="307">
        <f t="shared" ca="1" si="299"/>
        <v>16.235612861639872</v>
      </c>
      <c r="F666" s="304">
        <f t="shared" ca="1" si="300"/>
        <v>19.426012915493171</v>
      </c>
      <c r="G666" s="306">
        <f t="shared" ca="1" si="301"/>
        <v>172.18494917783929</v>
      </c>
      <c r="H666" s="307">
        <f t="shared" ca="1" si="302"/>
        <v>420.3444162593467</v>
      </c>
      <c r="I666" s="304">
        <f t="shared" ca="1" si="303"/>
        <v>454.2434204298242</v>
      </c>
      <c r="J666" s="306">
        <f t="shared" ca="1" si="304"/>
        <v>573.55702567052674</v>
      </c>
      <c r="K666" s="307">
        <f t="shared" ca="1" si="305"/>
        <v>1499.2564307050384</v>
      </c>
      <c r="L666" s="304">
        <f t="shared" ca="1" si="290"/>
        <v>1605.2219493597865</v>
      </c>
      <c r="M666" s="306">
        <f t="shared" ca="1" si="306"/>
        <v>1.1820173859687715</v>
      </c>
      <c r="N666" s="304">
        <f t="shared" ca="1" si="307"/>
        <v>67.724607527096651</v>
      </c>
      <c r="P666" s="310">
        <f t="shared" ca="1" si="308"/>
        <v>18</v>
      </c>
      <c r="Q666" s="304">
        <f t="shared" ca="1" si="309"/>
        <v>1702.1471890548273</v>
      </c>
      <c r="R666" s="306">
        <f t="shared" ca="1" si="310"/>
        <v>1.0236272964271347</v>
      </c>
      <c r="S666" s="307">
        <f t="shared" ca="1" si="311"/>
        <v>15.44548184606283</v>
      </c>
      <c r="T666" s="304">
        <f t="shared" ca="1" si="291"/>
        <v>151.52017690987637</v>
      </c>
      <c r="U666" s="311">
        <f t="shared" ca="1" si="292"/>
        <v>0</v>
      </c>
      <c r="V666" s="306">
        <f t="shared" ca="1" si="293"/>
        <v>1.054148590926087</v>
      </c>
      <c r="W666" s="304">
        <f t="shared" ca="1" si="294"/>
        <v>1267.9606664585756</v>
      </c>
      <c r="Y666" s="314" t="str">
        <f t="shared" ca="1" si="312"/>
        <v/>
      </c>
      <c r="Z666" s="315" t="str">
        <f t="shared" ca="1" si="313"/>
        <v/>
      </c>
      <c r="AA666" s="316" t="str">
        <f t="shared" ca="1" si="314"/>
        <v/>
      </c>
      <c r="AC666" s="310" t="e">
        <f t="shared" ca="1" si="315"/>
        <v>#N/A</v>
      </c>
      <c r="AD666" s="323" t="e">
        <f t="shared" ca="1" si="316"/>
        <v>#N/A</v>
      </c>
      <c r="AE666" s="324">
        <f t="shared" ca="1" si="295"/>
        <v>1499.2564307050384</v>
      </c>
      <c r="AG666" s="306">
        <f t="shared" ca="1" si="317"/>
        <v>19.066928607116957</v>
      </c>
      <c r="AH666" s="304">
        <f t="shared" ca="1" si="318"/>
        <v>28.145138161648482</v>
      </c>
    </row>
    <row r="667" spans="1:34" x14ac:dyDescent="0.2">
      <c r="A667" s="347">
        <f t="shared" ca="1" si="296"/>
        <v>0.01</v>
      </c>
      <c r="B667" s="304">
        <f t="shared" ca="1" si="297"/>
        <v>6.6299999999999031</v>
      </c>
      <c r="D667" s="306">
        <f t="shared" ca="1" si="298"/>
        <v>10.4060010156426</v>
      </c>
      <c r="E667" s="307">
        <f t="shared" ca="1" si="299"/>
        <v>15.593523614579771</v>
      </c>
      <c r="F667" s="304">
        <f t="shared" ca="1" si="300"/>
        <v>18.746808684573804</v>
      </c>
      <c r="G667" s="306">
        <f t="shared" ca="1" si="301"/>
        <v>172.2890091879957</v>
      </c>
      <c r="H667" s="307">
        <f t="shared" ca="1" si="302"/>
        <v>420.50035149549251</v>
      </c>
      <c r="I667" s="304">
        <f t="shared" ca="1" si="303"/>
        <v>454.42716500536585</v>
      </c>
      <c r="J667" s="306">
        <f t="shared" ca="1" si="304"/>
        <v>575.27939546235586</v>
      </c>
      <c r="K667" s="307">
        <f t="shared" ca="1" si="305"/>
        <v>1503.4606545438126</v>
      </c>
      <c r="L667" s="304">
        <f t="shared" ca="1" si="290"/>
        <v>1609.7640580547334</v>
      </c>
      <c r="M667" s="306">
        <f t="shared" ca="1" si="306"/>
        <v>1.1819355562112586</v>
      </c>
      <c r="N667" s="304">
        <f t="shared" ca="1" si="307"/>
        <v>67.719919027352589</v>
      </c>
      <c r="P667" s="310">
        <f t="shared" ca="1" si="308"/>
        <v>18</v>
      </c>
      <c r="Q667" s="304">
        <f t="shared" ca="1" si="309"/>
        <v>1691.6940049752257</v>
      </c>
      <c r="R667" s="306">
        <f t="shared" ca="1" si="310"/>
        <v>1.01734102187505</v>
      </c>
      <c r="S667" s="307">
        <f t="shared" ca="1" si="311"/>
        <v>15.43530843584408</v>
      </c>
      <c r="T667" s="304">
        <f t="shared" ca="1" si="291"/>
        <v>151.42037575563043</v>
      </c>
      <c r="U667" s="311">
        <f t="shared" ca="1" si="292"/>
        <v>0</v>
      </c>
      <c r="V667" s="306">
        <f t="shared" ca="1" si="293"/>
        <v>1.0537029858678122</v>
      </c>
      <c r="W667" s="304">
        <f t="shared" ca="1" si="294"/>
        <v>1268.4502510149114</v>
      </c>
      <c r="Y667" s="314" t="str">
        <f t="shared" ca="1" si="312"/>
        <v/>
      </c>
      <c r="Z667" s="315" t="str">
        <f t="shared" ca="1" si="313"/>
        <v/>
      </c>
      <c r="AA667" s="316" t="str">
        <f t="shared" ca="1" si="314"/>
        <v/>
      </c>
      <c r="AC667" s="310" t="e">
        <f t="shared" ca="1" si="315"/>
        <v>#N/A</v>
      </c>
      <c r="AD667" s="323" t="e">
        <f t="shared" ca="1" si="316"/>
        <v>#N/A</v>
      </c>
      <c r="AE667" s="324">
        <f t="shared" ca="1" si="295"/>
        <v>1503.4606545438126</v>
      </c>
      <c r="AG667" s="306">
        <f t="shared" ca="1" si="317"/>
        <v>18.374305409469919</v>
      </c>
      <c r="AH667" s="304">
        <f t="shared" ca="1" si="318"/>
        <v>27.452210642752743</v>
      </c>
    </row>
    <row r="668" spans="1:34" x14ac:dyDescent="0.2">
      <c r="A668" s="347">
        <f t="shared" ca="1" si="296"/>
        <v>0.01</v>
      </c>
      <c r="B668" s="304">
        <f t="shared" ca="1" si="297"/>
        <v>6.6399999999999029</v>
      </c>
      <c r="D668" s="306">
        <f t="shared" ca="1" si="298"/>
        <v>10.145940510428874</v>
      </c>
      <c r="E668" s="307">
        <f t="shared" ca="1" si="299"/>
        <v>14.952877045931485</v>
      </c>
      <c r="F668" s="304">
        <f t="shared" ca="1" si="300"/>
        <v>18.070103508057347</v>
      </c>
      <c r="G668" s="306">
        <f t="shared" ca="1" si="301"/>
        <v>172.3904685931</v>
      </c>
      <c r="H668" s="307">
        <f t="shared" ca="1" si="302"/>
        <v>420.64988026595182</v>
      </c>
      <c r="I668" s="304">
        <f t="shared" ca="1" si="303"/>
        <v>454.60399847505545</v>
      </c>
      <c r="J668" s="306">
        <f t="shared" ca="1" si="304"/>
        <v>577.00279285126135</v>
      </c>
      <c r="K668" s="307">
        <f t="shared" ca="1" si="305"/>
        <v>1507.6664057026198</v>
      </c>
      <c r="L668" s="304">
        <f t="shared" ca="1" si="290"/>
        <v>1614.3079674716382</v>
      </c>
      <c r="M668" s="306">
        <f t="shared" ca="1" si="306"/>
        <v>1.1818537419440112</v>
      </c>
      <c r="N668" s="304">
        <f t="shared" ca="1" si="307"/>
        <v>67.715231415135364</v>
      </c>
      <c r="P668" s="310">
        <f t="shared" ca="1" si="308"/>
        <v>18</v>
      </c>
      <c r="Q668" s="304">
        <f t="shared" ca="1" si="309"/>
        <v>1681.240820895624</v>
      </c>
      <c r="R668" s="306">
        <f t="shared" ca="1" si="310"/>
        <v>1.0110547473229654</v>
      </c>
      <c r="S668" s="307">
        <f t="shared" ca="1" si="311"/>
        <v>15.42519788837085</v>
      </c>
      <c r="T668" s="304">
        <f t="shared" ca="1" si="291"/>
        <v>151.32119128491803</v>
      </c>
      <c r="U668" s="311">
        <f t="shared" ca="1" si="292"/>
        <v>0</v>
      </c>
      <c r="V668" s="306">
        <f t="shared" ca="1" si="293"/>
        <v>1.0532573932338825</v>
      </c>
      <c r="W668" s="304">
        <f t="shared" ca="1" si="294"/>
        <v>1268.9008165557118</v>
      </c>
      <c r="Y668" s="314" t="str">
        <f t="shared" ca="1" si="312"/>
        <v/>
      </c>
      <c r="Z668" s="315" t="str">
        <f t="shared" ca="1" si="313"/>
        <v/>
      </c>
      <c r="AA668" s="316" t="str">
        <f t="shared" ca="1" si="314"/>
        <v/>
      </c>
      <c r="AC668" s="310" t="e">
        <f t="shared" ca="1" si="315"/>
        <v>#N/A</v>
      </c>
      <c r="AD668" s="323" t="e">
        <f t="shared" ca="1" si="316"/>
        <v>#N/A</v>
      </c>
      <c r="AE668" s="324">
        <f t="shared" ca="1" si="295"/>
        <v>1507.6664057026198</v>
      </c>
      <c r="AG668" s="306">
        <f t="shared" ca="1" si="317"/>
        <v>17.68319482267378</v>
      </c>
      <c r="AH668" s="304">
        <f t="shared" ca="1" si="318"/>
        <v>26.760795736171264</v>
      </c>
    </row>
    <row r="669" spans="1:34" x14ac:dyDescent="0.2">
      <c r="A669" s="347">
        <f t="shared" ca="1" si="296"/>
        <v>0.01</v>
      </c>
      <c r="B669" s="304">
        <f t="shared" ca="1" si="297"/>
        <v>6.6499999999999027</v>
      </c>
      <c r="D669" s="306">
        <f t="shared" ca="1" si="298"/>
        <v>9.8863504680633216</v>
      </c>
      <c r="E669" s="307">
        <f t="shared" ca="1" si="299"/>
        <v>14.313677919073337</v>
      </c>
      <c r="F669" s="304">
        <f t="shared" ca="1" si="300"/>
        <v>17.396013944244338</v>
      </c>
      <c r="G669" s="306">
        <f t="shared" ca="1" si="301"/>
        <v>172.48933209778062</v>
      </c>
      <c r="H669" s="307">
        <f t="shared" ca="1" si="302"/>
        <v>420.79301704514256</v>
      </c>
      <c r="I669" s="304">
        <f t="shared" ca="1" si="303"/>
        <v>454.77393601820683</v>
      </c>
      <c r="J669" s="306">
        <f t="shared" ca="1" si="304"/>
        <v>578.72719185471578</v>
      </c>
      <c r="K669" s="307">
        <f t="shared" ca="1" si="305"/>
        <v>1511.8736201891752</v>
      </c>
      <c r="L669" s="304">
        <f t="shared" ca="1" si="290"/>
        <v>1618.8536085810747</v>
      </c>
      <c r="M669" s="306">
        <f t="shared" ca="1" si="306"/>
        <v>1.1817719419182735</v>
      </c>
      <c r="N669" s="304">
        <f t="shared" ca="1" si="307"/>
        <v>67.710544618896535</v>
      </c>
      <c r="P669" s="310">
        <f t="shared" ca="1" si="308"/>
        <v>18</v>
      </c>
      <c r="Q669" s="304">
        <f t="shared" ca="1" si="309"/>
        <v>1670.7876368160221</v>
      </c>
      <c r="R669" s="306">
        <f t="shared" ca="1" si="310"/>
        <v>1.0047684727708805</v>
      </c>
      <c r="S669" s="307">
        <f t="shared" ca="1" si="311"/>
        <v>15.41515020364314</v>
      </c>
      <c r="T669" s="304">
        <f t="shared" ca="1" si="291"/>
        <v>151.22262349773922</v>
      </c>
      <c r="U669" s="311">
        <f t="shared" ca="1" si="292"/>
        <v>0</v>
      </c>
      <c r="V669" s="306">
        <f t="shared" ca="1" si="293"/>
        <v>1.0528118198878254</v>
      </c>
      <c r="W669" s="304">
        <f t="shared" ca="1" si="294"/>
        <v>1269.312459561839</v>
      </c>
      <c r="Y669" s="314" t="str">
        <f t="shared" ca="1" si="312"/>
        <v/>
      </c>
      <c r="Z669" s="315" t="str">
        <f t="shared" ca="1" si="313"/>
        <v/>
      </c>
      <c r="AA669" s="316" t="str">
        <f t="shared" ca="1" si="314"/>
        <v/>
      </c>
      <c r="AC669" s="310" t="e">
        <f t="shared" ca="1" si="315"/>
        <v>#N/A</v>
      </c>
      <c r="AD669" s="323" t="e">
        <f t="shared" ca="1" si="316"/>
        <v>#N/A</v>
      </c>
      <c r="AE669" s="324">
        <f t="shared" ca="1" si="295"/>
        <v>1511.8736201891752</v>
      </c>
      <c r="AG669" s="306">
        <f t="shared" ca="1" si="317"/>
        <v>16.993602164967641</v>
      </c>
      <c r="AH669" s="304">
        <f t="shared" ca="1" si="318"/>
        <v>26.070898755519771</v>
      </c>
    </row>
    <row r="670" spans="1:34" x14ac:dyDescent="0.2">
      <c r="A670" s="347">
        <f t="shared" ca="1" si="296"/>
        <v>0.01</v>
      </c>
      <c r="B670" s="304">
        <f t="shared" ca="1" si="297"/>
        <v>6.6599999999999024</v>
      </c>
      <c r="D670" s="306">
        <f t="shared" ca="1" si="298"/>
        <v>9.3414649224977495</v>
      </c>
      <c r="E670" s="307">
        <f t="shared" ca="1" si="299"/>
        <v>12.978790243160621</v>
      </c>
      <c r="F670" s="304">
        <f t="shared" ca="1" si="300"/>
        <v>15.990996312744782</v>
      </c>
      <c r="G670" s="306">
        <f t="shared" ca="1" si="301"/>
        <v>172.58274674700559</v>
      </c>
      <c r="H670" s="307">
        <f t="shared" ca="1" si="302"/>
        <v>420.92280494757415</v>
      </c>
      <c r="I670" s="304">
        <f t="shared" ca="1" si="303"/>
        <v>454.92945848743915</v>
      </c>
      <c r="J670" s="306">
        <f t="shared" ca="1" si="304"/>
        <v>580.4525522489397</v>
      </c>
      <c r="K670" s="307">
        <f t="shared" ca="1" si="305"/>
        <v>1516.0821992991389</v>
      </c>
      <c r="L670" s="304">
        <f t="shared" ca="1" si="290"/>
        <v>1623.4008748439253</v>
      </c>
      <c r="M670" s="306">
        <f t="shared" ca="1" si="306"/>
        <v>1.1816901535352982</v>
      </c>
      <c r="N670" s="304">
        <f t="shared" ca="1" si="307"/>
        <v>67.705858489738844</v>
      </c>
      <c r="P670" s="310">
        <f t="shared" ca="1" si="308"/>
        <v>19</v>
      </c>
      <c r="Q670" s="304">
        <f t="shared" ca="1" si="309"/>
        <v>1648.7293372367776</v>
      </c>
      <c r="R670" s="306">
        <f t="shared" ca="1" si="310"/>
        <v>0.99150318190339692</v>
      </c>
      <c r="S670" s="307">
        <f t="shared" ca="1" si="311"/>
        <v>15.405235171824106</v>
      </c>
      <c r="T670" s="304">
        <f t="shared" ca="1" si="291"/>
        <v>151.1253570355945</v>
      </c>
      <c r="U670" s="311">
        <f t="shared" ca="1" si="292"/>
        <v>0</v>
      </c>
      <c r="V670" s="306">
        <f t="shared" ca="1" si="293"/>
        <v>1.0523662763565811</v>
      </c>
      <c r="W670" s="304">
        <f t="shared" ca="1" si="294"/>
        <v>1269.6432279569235</v>
      </c>
      <c r="Y670" s="314" t="str">
        <f t="shared" ca="1" si="312"/>
        <v/>
      </c>
      <c r="Z670" s="315" t="str">
        <f t="shared" ca="1" si="313"/>
        <v/>
      </c>
      <c r="AA670" s="316" t="str">
        <f t="shared" ca="1" si="314"/>
        <v/>
      </c>
      <c r="AC670" s="310" t="e">
        <f t="shared" ca="1" si="315"/>
        <v>#N/A</v>
      </c>
      <c r="AD670" s="323" t="e">
        <f t="shared" ca="1" si="316"/>
        <v>#N/A</v>
      </c>
      <c r="AE670" s="324">
        <f t="shared" ca="1" si="295"/>
        <v>1516.0821992991389</v>
      </c>
      <c r="AG670" s="306">
        <f t="shared" ca="1" si="317"/>
        <v>15.552094764351109</v>
      </c>
      <c r="AH670" s="304">
        <f t="shared" ca="1" si="318"/>
        <v>24.62908702418806</v>
      </c>
    </row>
    <row r="671" spans="1:34" x14ac:dyDescent="0.2">
      <c r="A671" s="347">
        <f t="shared" ca="1" si="296"/>
        <v>0.01</v>
      </c>
      <c r="B671" s="304">
        <f t="shared" ca="1" si="297"/>
        <v>6.6699999999999022</v>
      </c>
      <c r="D671" s="306">
        <f t="shared" ca="1" si="298"/>
        <v>8.7260726220952805</v>
      </c>
      <c r="E671" s="307">
        <f t="shared" ca="1" si="299"/>
        <v>11.472561747918801</v>
      </c>
      <c r="F671" s="304">
        <f t="shared" ca="1" si="300"/>
        <v>14.414021523013295</v>
      </c>
      <c r="G671" s="306">
        <f t="shared" ca="1" si="301"/>
        <v>172.67000747322655</v>
      </c>
      <c r="H671" s="307">
        <f t="shared" ca="1" si="302"/>
        <v>421.03753056505332</v>
      </c>
      <c r="I671" s="304">
        <f t="shared" ca="1" si="303"/>
        <v>455.06871308091741</v>
      </c>
      <c r="J671" s="306">
        <f t="shared" ca="1" si="304"/>
        <v>582.17881602004081</v>
      </c>
      <c r="K671" s="307">
        <f t="shared" ca="1" si="305"/>
        <v>1520.292000976702</v>
      </c>
      <c r="L671" s="304">
        <f t="shared" ca="1" si="290"/>
        <v>1627.9496128738876</v>
      </c>
      <c r="M671" s="306">
        <f t="shared" ca="1" si="306"/>
        <v>1.181608373866627</v>
      </c>
      <c r="N671" s="304">
        <f t="shared" ca="1" si="307"/>
        <v>67.701172859874006</v>
      </c>
      <c r="P671" s="310">
        <f t="shared" ca="1" si="308"/>
        <v>19</v>
      </c>
      <c r="Q671" s="304">
        <f t="shared" ca="1" si="309"/>
        <v>1623.7697587824457</v>
      </c>
      <c r="R671" s="306">
        <f t="shared" ca="1" si="310"/>
        <v>0.97649313695695739</v>
      </c>
      <c r="S671" s="307">
        <f t="shared" ca="1" si="311"/>
        <v>15.395470240454536</v>
      </c>
      <c r="T671" s="304">
        <f t="shared" ca="1" si="291"/>
        <v>151.029563058859</v>
      </c>
      <c r="U671" s="311">
        <f t="shared" ca="1" si="292"/>
        <v>0</v>
      </c>
      <c r="V671" s="306">
        <f t="shared" ca="1" si="293"/>
        <v>1.0519207777374087</v>
      </c>
      <c r="W671" s="304">
        <f t="shared" ca="1" si="294"/>
        <v>1269.8828186839137</v>
      </c>
      <c r="Y671" s="314" t="str">
        <f t="shared" ca="1" si="312"/>
        <v/>
      </c>
      <c r="Z671" s="315" t="str">
        <f t="shared" ca="1" si="313"/>
        <v/>
      </c>
      <c r="AA671" s="316" t="str">
        <f t="shared" ca="1" si="314"/>
        <v/>
      </c>
      <c r="AC671" s="310" t="e">
        <f t="shared" ca="1" si="315"/>
        <v>#N/A</v>
      </c>
      <c r="AD671" s="323" t="e">
        <f t="shared" ca="1" si="316"/>
        <v>#N/A</v>
      </c>
      <c r="AE671" s="324">
        <f t="shared" ca="1" si="295"/>
        <v>1520.292000976702</v>
      </c>
      <c r="AG671" s="306">
        <f t="shared" ca="1" si="317"/>
        <v>13.925307174800569</v>
      </c>
      <c r="AH671" s="304">
        <f t="shared" ca="1" si="318"/>
        <v>23.001995086514938</v>
      </c>
    </row>
    <row r="672" spans="1:34" x14ac:dyDescent="0.2">
      <c r="A672" s="347">
        <f t="shared" ca="1" si="296"/>
        <v>0.01</v>
      </c>
      <c r="B672" s="304">
        <f t="shared" ca="1" si="297"/>
        <v>6.679999999999902</v>
      </c>
      <c r="D672" s="306">
        <f t="shared" ca="1" si="298"/>
        <v>8.1118196170950121</v>
      </c>
      <c r="E672" s="307">
        <f t="shared" ca="1" si="299"/>
        <v>9.969813240005875</v>
      </c>
      <c r="F672" s="304">
        <f t="shared" ca="1" si="300"/>
        <v>12.852968277440192</v>
      </c>
      <c r="G672" s="306">
        <f t="shared" ca="1" si="301"/>
        <v>172.75112566939751</v>
      </c>
      <c r="H672" s="307">
        <f t="shared" ca="1" si="302"/>
        <v>421.13722869745339</v>
      </c>
      <c r="I672" s="304">
        <f t="shared" ca="1" si="303"/>
        <v>455.19173632109704</v>
      </c>
      <c r="J672" s="306">
        <f t="shared" ca="1" si="304"/>
        <v>583.90592168575392</v>
      </c>
      <c r="K672" s="307">
        <f t="shared" ca="1" si="305"/>
        <v>1524.5028747730146</v>
      </c>
      <c r="L672" s="304">
        <f t="shared" ca="1" si="290"/>
        <v>1632.4996602054396</v>
      </c>
      <c r="M672" s="306">
        <f t="shared" ca="1" si="306"/>
        <v>1.1815265999934017</v>
      </c>
      <c r="N672" s="304">
        <f t="shared" ca="1" si="307"/>
        <v>67.696487562063751</v>
      </c>
      <c r="P672" s="310">
        <f t="shared" ca="1" si="308"/>
        <v>19</v>
      </c>
      <c r="Q672" s="304">
        <f t="shared" ca="1" si="309"/>
        <v>1598.8101803281136</v>
      </c>
      <c r="R672" s="306">
        <f t="shared" ca="1" si="310"/>
        <v>0.96148309201051774</v>
      </c>
      <c r="S672" s="307">
        <f t="shared" ca="1" si="311"/>
        <v>15.385855409534431</v>
      </c>
      <c r="T672" s="304">
        <f t="shared" ca="1" si="291"/>
        <v>150.93524156753278</v>
      </c>
      <c r="U672" s="311">
        <f t="shared" ca="1" si="292"/>
        <v>0</v>
      </c>
      <c r="V672" s="306">
        <f t="shared" ca="1" si="293"/>
        <v>1.0514753399916434</v>
      </c>
      <c r="W672" s="304">
        <f t="shared" ca="1" si="294"/>
        <v>1270.0314865892485</v>
      </c>
      <c r="Y672" s="314" t="str">
        <f t="shared" ca="1" si="312"/>
        <v/>
      </c>
      <c r="Z672" s="315" t="str">
        <f t="shared" ca="1" si="313"/>
        <v/>
      </c>
      <c r="AA672" s="316" t="str">
        <f t="shared" ca="1" si="314"/>
        <v/>
      </c>
      <c r="AC672" s="310" t="e">
        <f t="shared" ca="1" si="315"/>
        <v>#N/A</v>
      </c>
      <c r="AD672" s="323" t="e">
        <f t="shared" ca="1" si="316"/>
        <v>#N/A</v>
      </c>
      <c r="AE672" s="324">
        <f t="shared" ca="1" si="295"/>
        <v>1524.5028747730146</v>
      </c>
      <c r="AG672" s="306">
        <f t="shared" ca="1" si="317"/>
        <v>12.302171825371454</v>
      </c>
      <c r="AH672" s="304">
        <f t="shared" ca="1" si="318"/>
        <v>21.378555360683265</v>
      </c>
    </row>
    <row r="673" spans="1:34" x14ac:dyDescent="0.2">
      <c r="A673" s="347">
        <f t="shared" ca="1" si="296"/>
        <v>0.01</v>
      </c>
      <c r="B673" s="304">
        <f t="shared" ca="1" si="297"/>
        <v>6.6899999999999018</v>
      </c>
      <c r="D673" s="306">
        <f t="shared" ca="1" si="298"/>
        <v>7.498721194745201</v>
      </c>
      <c r="E673" s="307">
        <f t="shared" ca="1" si="299"/>
        <v>8.4705793623218231</v>
      </c>
      <c r="F673" s="304">
        <f t="shared" ca="1" si="300"/>
        <v>11.312892392748783</v>
      </c>
      <c r="G673" s="306">
        <f t="shared" ca="1" si="301"/>
        <v>172.82611288134495</v>
      </c>
      <c r="H673" s="307">
        <f t="shared" ca="1" si="302"/>
        <v>421.22193449107664</v>
      </c>
      <c r="I673" s="304">
        <f t="shared" ca="1" si="303"/>
        <v>455.29856510874299</v>
      </c>
      <c r="J673" s="306">
        <f t="shared" ca="1" si="304"/>
        <v>585.63380787850758</v>
      </c>
      <c r="K673" s="307">
        <f t="shared" ca="1" si="305"/>
        <v>1528.7146705889572</v>
      </c>
      <c r="L673" s="304">
        <f t="shared" ca="1" si="290"/>
        <v>1637.0508547397617</v>
      </c>
      <c r="M673" s="306">
        <f t="shared" ca="1" si="306"/>
        <v>1.1814448290057944</v>
      </c>
      <c r="N673" s="304">
        <f t="shared" ca="1" si="307"/>
        <v>67.691802429587241</v>
      </c>
      <c r="P673" s="310">
        <f t="shared" ca="1" si="308"/>
        <v>19</v>
      </c>
      <c r="Q673" s="304">
        <f t="shared" ca="1" si="309"/>
        <v>1573.8506018737814</v>
      </c>
      <c r="R673" s="306">
        <f t="shared" ca="1" si="310"/>
        <v>0.94647304706407798</v>
      </c>
      <c r="S673" s="307">
        <f t="shared" ca="1" si="311"/>
        <v>15.376390679063791</v>
      </c>
      <c r="T673" s="304">
        <f t="shared" ca="1" si="291"/>
        <v>150.84239256161578</v>
      </c>
      <c r="U673" s="311">
        <f t="shared" ca="1" si="292"/>
        <v>0</v>
      </c>
      <c r="V673" s="306">
        <f t="shared" ca="1" si="293"/>
        <v>1.0510299790186926</v>
      </c>
      <c r="W673" s="304">
        <f t="shared" ca="1" si="294"/>
        <v>1270.0894982838765</v>
      </c>
      <c r="Y673" s="314" t="str">
        <f t="shared" ca="1" si="312"/>
        <v/>
      </c>
      <c r="Z673" s="315" t="str">
        <f t="shared" ca="1" si="313"/>
        <v/>
      </c>
      <c r="AA673" s="316" t="str">
        <f t="shared" ca="1" si="314"/>
        <v/>
      </c>
      <c r="AC673" s="310" t="e">
        <f t="shared" ca="1" si="315"/>
        <v>#N/A</v>
      </c>
      <c r="AD673" s="323" t="e">
        <f t="shared" ca="1" si="316"/>
        <v>#N/A</v>
      </c>
      <c r="AE673" s="324">
        <f t="shared" ca="1" si="295"/>
        <v>1528.7146705889572</v>
      </c>
      <c r="AG673" s="306">
        <f t="shared" ca="1" si="317"/>
        <v>10.682726547023835</v>
      </c>
      <c r="AH673" s="304">
        <f t="shared" ca="1" si="318"/>
        <v>19.758805666807582</v>
      </c>
    </row>
    <row r="674" spans="1:34" x14ac:dyDescent="0.2">
      <c r="A674" s="347">
        <f t="shared" ca="1" si="296"/>
        <v>0.01</v>
      </c>
      <c r="B674" s="304">
        <f t="shared" ca="1" si="297"/>
        <v>6.6999999999999016</v>
      </c>
      <c r="D674" s="306">
        <f t="shared" ca="1" si="298"/>
        <v>6.8867922988485484</v>
      </c>
      <c r="E674" s="307">
        <f t="shared" ca="1" si="299"/>
        <v>6.974893938746666</v>
      </c>
      <c r="F674" s="304">
        <f t="shared" ca="1" si="300"/>
        <v>9.8018903087233458</v>
      </c>
      <c r="G674" s="306">
        <f t="shared" ca="1" si="301"/>
        <v>172.89498080433344</v>
      </c>
      <c r="H674" s="307">
        <f t="shared" ca="1" si="302"/>
        <v>421.2916834304641</v>
      </c>
      <c r="I674" s="304">
        <f t="shared" ca="1" si="303"/>
        <v>455.38923671405018</v>
      </c>
      <c r="J674" s="306">
        <f t="shared" ca="1" si="304"/>
        <v>587.36241334693602</v>
      </c>
      <c r="K674" s="307">
        <f t="shared" ca="1" si="305"/>
        <v>1532.9272386785649</v>
      </c>
      <c r="L674" s="304">
        <f t="shared" ca="1" si="290"/>
        <v>1641.6030347484823</v>
      </c>
      <c r="M674" s="306">
        <f t="shared" ca="1" si="306"/>
        <v>1.1813630580024461</v>
      </c>
      <c r="N674" s="304">
        <f t="shared" ca="1" si="307"/>
        <v>67.687117296208839</v>
      </c>
      <c r="P674" s="310">
        <f t="shared" ca="1" si="308"/>
        <v>19</v>
      </c>
      <c r="Q674" s="304">
        <f t="shared" ca="1" si="309"/>
        <v>1548.8910234194495</v>
      </c>
      <c r="R674" s="306">
        <f t="shared" ca="1" si="310"/>
        <v>0.93146300211763844</v>
      </c>
      <c r="S674" s="307">
        <f t="shared" ca="1" si="311"/>
        <v>15.367076049042614</v>
      </c>
      <c r="T674" s="304">
        <f t="shared" ca="1" si="291"/>
        <v>150.75101604110804</v>
      </c>
      <c r="U674" s="311">
        <f t="shared" ca="1" si="292"/>
        <v>0</v>
      </c>
      <c r="V674" s="306">
        <f t="shared" ca="1" si="293"/>
        <v>1.0505847106557651</v>
      </c>
      <c r="W674" s="304">
        <f t="shared" ca="1" si="294"/>
        <v>1270.057131983712</v>
      </c>
      <c r="Y674" s="314" t="str">
        <f t="shared" ca="1" si="312"/>
        <v/>
      </c>
      <c r="Z674" s="315" t="str">
        <f t="shared" ca="1" si="313"/>
        <v/>
      </c>
      <c r="AA674" s="316" t="str">
        <f t="shared" ca="1" si="314"/>
        <v/>
      </c>
      <c r="AC674" s="310" t="e">
        <f t="shared" ca="1" si="315"/>
        <v>#N/A</v>
      </c>
      <c r="AD674" s="323" t="e">
        <f t="shared" ca="1" si="316"/>
        <v>#N/A</v>
      </c>
      <c r="AE674" s="324">
        <f t="shared" ca="1" si="295"/>
        <v>1532.9272386785649</v>
      </c>
      <c r="AG674" s="306">
        <f t="shared" ca="1" si="317"/>
        <v>9.0670082827828793</v>
      </c>
      <c r="AH674" s="304">
        <f t="shared" ca="1" si="318"/>
        <v>18.142782937092488</v>
      </c>
    </row>
    <row r="675" spans="1:34" x14ac:dyDescent="0.2">
      <c r="A675" s="347">
        <f t="shared" ca="1" si="296"/>
        <v>0.01</v>
      </c>
      <c r="B675" s="304">
        <f t="shared" ca="1" si="297"/>
        <v>6.7099999999999014</v>
      </c>
      <c r="D675" s="306">
        <f t="shared" ca="1" si="298"/>
        <v>6.2760475311378006</v>
      </c>
      <c r="E675" s="307">
        <f t="shared" ca="1" si="299"/>
        <v>5.4827899779516471</v>
      </c>
      <c r="F675" s="304">
        <f t="shared" ca="1" si="300"/>
        <v>8.3336521738927836</v>
      </c>
      <c r="G675" s="306">
        <f t="shared" ca="1" si="301"/>
        <v>172.95774127964481</v>
      </c>
      <c r="H675" s="307">
        <f t="shared" ca="1" si="302"/>
        <v>421.34651133024363</v>
      </c>
      <c r="I675" s="304">
        <f t="shared" ca="1" si="303"/>
        <v>455.463788767805</v>
      </c>
      <c r="J675" s="306">
        <f t="shared" ca="1" si="304"/>
        <v>589.09167695735596</v>
      </c>
      <c r="K675" s="307">
        <f t="shared" ca="1" si="305"/>
        <v>1537.1404296523685</v>
      </c>
      <c r="L675" s="304">
        <f t="shared" ca="1" si="290"/>
        <v>1646.1560388773289</v>
      </c>
      <c r="M675" s="306">
        <f t="shared" ca="1" si="306"/>
        <v>1.1812812840899065</v>
      </c>
      <c r="N675" s="304">
        <f t="shared" ca="1" si="307"/>
        <v>67.68243199614605</v>
      </c>
      <c r="P675" s="310">
        <f t="shared" ca="1" si="308"/>
        <v>19</v>
      </c>
      <c r="Q675" s="304">
        <f t="shared" ca="1" si="309"/>
        <v>1523.9314449651174</v>
      </c>
      <c r="R675" s="306">
        <f t="shared" ca="1" si="310"/>
        <v>0.91645295717119868</v>
      </c>
      <c r="S675" s="307">
        <f t="shared" ca="1" si="311"/>
        <v>15.357911519470903</v>
      </c>
      <c r="T675" s="304">
        <f t="shared" ca="1" si="291"/>
        <v>150.66111200600957</v>
      </c>
      <c r="U675" s="311">
        <f t="shared" ca="1" si="292"/>
        <v>0</v>
      </c>
      <c r="V675" s="306">
        <f t="shared" ca="1" si="293"/>
        <v>1.0501395506776159</v>
      </c>
      <c r="W675" s="304">
        <f t="shared" ca="1" si="294"/>
        <v>1269.934677349775</v>
      </c>
      <c r="Y675" s="314" t="str">
        <f t="shared" ca="1" si="312"/>
        <v/>
      </c>
      <c r="Z675" s="315" t="str">
        <f t="shared" ca="1" si="313"/>
        <v/>
      </c>
      <c r="AA675" s="316" t="str">
        <f t="shared" ca="1" si="314"/>
        <v/>
      </c>
      <c r="AC675" s="310" t="e">
        <f t="shared" ca="1" si="315"/>
        <v>#N/A</v>
      </c>
      <c r="AD675" s="323" t="e">
        <f t="shared" ca="1" si="316"/>
        <v>#N/A</v>
      </c>
      <c r="AE675" s="324">
        <f t="shared" ca="1" si="295"/>
        <v>1537.1404296523685</v>
      </c>
      <c r="AG675" s="306">
        <f t="shared" ca="1" si="317"/>
        <v>7.4550530917836593</v>
      </c>
      <c r="AH675" s="304">
        <f t="shared" ca="1" si="318"/>
        <v>16.530523219875384</v>
      </c>
    </row>
    <row r="676" spans="1:34" x14ac:dyDescent="0.2">
      <c r="A676" s="347">
        <f t="shared" ca="1" si="296"/>
        <v>0.01</v>
      </c>
      <c r="B676" s="304">
        <f t="shared" ca="1" si="297"/>
        <v>6.7199999999999012</v>
      </c>
      <c r="D676" s="306">
        <f t="shared" ca="1" si="298"/>
        <v>5.6665011527124518</v>
      </c>
      <c r="E676" s="307">
        <f t="shared" ca="1" si="299"/>
        <v>3.9942996773639372</v>
      </c>
      <c r="F676" s="304">
        <f t="shared" ca="1" si="300"/>
        <v>6.9327963496904479</v>
      </c>
      <c r="G676" s="306">
        <f t="shared" ca="1" si="301"/>
        <v>173.01440629117192</v>
      </c>
      <c r="H676" s="307">
        <f t="shared" ca="1" si="302"/>
        <v>421.38645432701725</v>
      </c>
      <c r="I676" s="304">
        <f t="shared" ca="1" si="303"/>
        <v>455.52225925258813</v>
      </c>
      <c r="J676" s="306">
        <f t="shared" ca="1" si="304"/>
        <v>590.82153769521005</v>
      </c>
      <c r="K676" s="307">
        <f t="shared" ca="1" si="305"/>
        <v>1541.3540944806548</v>
      </c>
      <c r="L676" s="304">
        <f t="shared" ca="1" si="290"/>
        <v>1650.7097061496947</v>
      </c>
      <c r="M676" s="306">
        <f t="shared" ca="1" si="306"/>
        <v>1.18119950438208</v>
      </c>
      <c r="N676" s="304">
        <f t="shared" ca="1" si="307"/>
        <v>67.677746364037773</v>
      </c>
      <c r="P676" s="310">
        <f t="shared" ca="1" si="308"/>
        <v>19</v>
      </c>
      <c r="Q676" s="304">
        <f t="shared" ca="1" si="309"/>
        <v>1498.9718665107855</v>
      </c>
      <c r="R676" s="306">
        <f t="shared" ca="1" si="310"/>
        <v>0.90144291222475914</v>
      </c>
      <c r="S676" s="307">
        <f t="shared" ca="1" si="311"/>
        <v>15.348897090348656</v>
      </c>
      <c r="T676" s="304">
        <f t="shared" ca="1" si="291"/>
        <v>150.57268045632031</v>
      </c>
      <c r="U676" s="311">
        <f t="shared" ca="1" si="292"/>
        <v>0</v>
      </c>
      <c r="V676" s="306">
        <f t="shared" ca="1" si="293"/>
        <v>1.0496945147963017</v>
      </c>
      <c r="W676" s="304">
        <f t="shared" ca="1" si="294"/>
        <v>1269.7224353280567</v>
      </c>
      <c r="Y676" s="314" t="str">
        <f t="shared" ca="1" si="312"/>
        <v/>
      </c>
      <c r="Z676" s="315" t="str">
        <f t="shared" ca="1" si="313"/>
        <v/>
      </c>
      <c r="AA676" s="316" t="str">
        <f t="shared" ca="1" si="314"/>
        <v/>
      </c>
      <c r="AC676" s="310" t="e">
        <f t="shared" ca="1" si="315"/>
        <v>#N/A</v>
      </c>
      <c r="AD676" s="323" t="e">
        <f t="shared" ca="1" si="316"/>
        <v>#N/A</v>
      </c>
      <c r="AE676" s="324">
        <f t="shared" ca="1" si="295"/>
        <v>1541.3540944806548</v>
      </c>
      <c r="AG676" s="306">
        <f t="shared" ca="1" si="317"/>
        <v>5.8468961534812216</v>
      </c>
      <c r="AH676" s="304">
        <f t="shared" ca="1" si="318"/>
        <v>14.922061683834498</v>
      </c>
    </row>
    <row r="677" spans="1:34" x14ac:dyDescent="0.2">
      <c r="A677" s="347">
        <f t="shared" ca="1" si="296"/>
        <v>0.01</v>
      </c>
      <c r="B677" s="304">
        <f t="shared" ca="1" si="297"/>
        <v>6.729999999999901</v>
      </c>
      <c r="D677" s="306">
        <f t="shared" ca="1" si="298"/>
        <v>5.058167085535282</v>
      </c>
      <c r="E677" s="307">
        <f t="shared" ca="1" si="299"/>
        <v>2.5094544272819466</v>
      </c>
      <c r="F677" s="304">
        <f t="shared" ca="1" si="300"/>
        <v>5.6464516103299296</v>
      </c>
      <c r="G677" s="306">
        <f t="shared" ca="1" si="301"/>
        <v>173.06498796202729</v>
      </c>
      <c r="H677" s="307">
        <f t="shared" ca="1" si="302"/>
        <v>421.41154887129005</v>
      </c>
      <c r="I677" s="304">
        <f t="shared" ca="1" si="303"/>
        <v>455.56468649402177</v>
      </c>
      <c r="J677" s="306">
        <f t="shared" ca="1" si="304"/>
        <v>592.55193466647609</v>
      </c>
      <c r="K677" s="307">
        <f t="shared" ca="1" si="305"/>
        <v>1545.5680844966464</v>
      </c>
      <c r="L677" s="304">
        <f t="shared" ca="1" si="290"/>
        <v>1655.2638759701174</v>
      </c>
      <c r="M677" s="306">
        <f t="shared" ca="1" si="306"/>
        <v>1.1811177159996744</v>
      </c>
      <c r="N677" s="304">
        <f t="shared" ca="1" si="307"/>
        <v>67.673060234912725</v>
      </c>
      <c r="P677" s="310">
        <f t="shared" ca="1" si="308"/>
        <v>19</v>
      </c>
      <c r="Q677" s="304">
        <f t="shared" ca="1" si="309"/>
        <v>1474.0122880564534</v>
      </c>
      <c r="R677" s="306">
        <f t="shared" ca="1" si="310"/>
        <v>0.88643286727831938</v>
      </c>
      <c r="S677" s="307">
        <f t="shared" ca="1" si="311"/>
        <v>15.340032761675873</v>
      </c>
      <c r="T677" s="304">
        <f t="shared" ca="1" si="291"/>
        <v>150.48572139204032</v>
      </c>
      <c r="U677" s="311">
        <f t="shared" ca="1" si="292"/>
        <v>0</v>
      </c>
      <c r="V677" s="306">
        <f t="shared" ca="1" si="293"/>
        <v>1.0492496186609483</v>
      </c>
      <c r="W677" s="304">
        <f t="shared" ca="1" si="294"/>
        <v>1269.420717989186</v>
      </c>
      <c r="Y677" s="314" t="str">
        <f t="shared" ca="1" si="312"/>
        <v/>
      </c>
      <c r="Z677" s="315" t="str">
        <f t="shared" ca="1" si="313"/>
        <v/>
      </c>
      <c r="AA677" s="316" t="str">
        <f t="shared" ca="1" si="314"/>
        <v/>
      </c>
      <c r="AC677" s="310" t="e">
        <f t="shared" ca="1" si="315"/>
        <v>#N/A</v>
      </c>
      <c r="AD677" s="323" t="e">
        <f t="shared" ca="1" si="316"/>
        <v>#N/A</v>
      </c>
      <c r="AE677" s="324">
        <f t="shared" ca="1" si="295"/>
        <v>1545.5680844966464</v>
      </c>
      <c r="AG677" s="306">
        <f t="shared" ca="1" si="317"/>
        <v>4.2425717720226412</v>
      </c>
      <c r="AH677" s="304">
        <f t="shared" ca="1" si="318"/>
        <v>13.317432622358908</v>
      </c>
    </row>
    <row r="678" spans="1:34" x14ac:dyDescent="0.2">
      <c r="A678" s="347">
        <f t="shared" ca="1" si="296"/>
        <v>0.01</v>
      </c>
      <c r="B678" s="304">
        <f t="shared" ca="1" si="297"/>
        <v>6.7399999999999007</v>
      </c>
      <c r="D678" s="306">
        <f t="shared" ca="1" si="298"/>
        <v>4.4510589139870831</v>
      </c>
      <c r="E678" s="307">
        <f t="shared" ca="1" si="299"/>
        <v>1.0282848151367183</v>
      </c>
      <c r="F678" s="304">
        <f t="shared" ca="1" si="300"/>
        <v>4.5682923633262167</v>
      </c>
      <c r="G678" s="306">
        <f t="shared" ca="1" si="301"/>
        <v>173.10949855116715</v>
      </c>
      <c r="H678" s="307">
        <f t="shared" ca="1" si="302"/>
        <v>421.4218317194414</v>
      </c>
      <c r="I678" s="304">
        <f t="shared" ca="1" si="303"/>
        <v>455.59110915206162</v>
      </c>
      <c r="J678" s="306">
        <f t="shared" ca="1" si="304"/>
        <v>594.28280709904209</v>
      </c>
      <c r="K678" s="307">
        <f t="shared" ca="1" si="305"/>
        <v>1549.7822513996</v>
      </c>
      <c r="L678" s="304">
        <f t="shared" ca="1" si="290"/>
        <v>1659.818388127668</v>
      </c>
      <c r="M678" s="306">
        <f t="shared" ca="1" si="306"/>
        <v>1.1810359160696535</v>
      </c>
      <c r="N678" s="304">
        <f t="shared" ca="1" si="307"/>
        <v>67.668373444158064</v>
      </c>
      <c r="P678" s="310">
        <f t="shared" ca="1" si="308"/>
        <v>19</v>
      </c>
      <c r="Q678" s="304">
        <f t="shared" ca="1" si="309"/>
        <v>1449.0527096021215</v>
      </c>
      <c r="R678" s="306">
        <f t="shared" ca="1" si="310"/>
        <v>0.87142282233187984</v>
      </c>
      <c r="S678" s="307">
        <f t="shared" ca="1" si="311"/>
        <v>15.331318533452555</v>
      </c>
      <c r="T678" s="304">
        <f t="shared" ca="1" si="291"/>
        <v>150.40023481316956</v>
      </c>
      <c r="U678" s="311">
        <f t="shared" ca="1" si="292"/>
        <v>0</v>
      </c>
      <c r="V678" s="306">
        <f t="shared" ca="1" si="293"/>
        <v>1.0488048778575285</v>
      </c>
      <c r="W678" s="304">
        <f t="shared" ca="1" si="294"/>
        <v>1269.0298483679396</v>
      </c>
      <c r="Y678" s="314" t="str">
        <f t="shared" ca="1" si="312"/>
        <v/>
      </c>
      <c r="Z678" s="315" t="str">
        <f t="shared" ca="1" si="313"/>
        <v/>
      </c>
      <c r="AA678" s="316" t="str">
        <f t="shared" ca="1" si="314"/>
        <v/>
      </c>
      <c r="AC678" s="310" t="e">
        <f t="shared" ca="1" si="315"/>
        <v>#N/A</v>
      </c>
      <c r="AD678" s="323" t="e">
        <f t="shared" ca="1" si="316"/>
        <v>#N/A</v>
      </c>
      <c r="AE678" s="324">
        <f t="shared" ca="1" si="295"/>
        <v>1549.7822513996</v>
      </c>
      <c r="AG678" s="306">
        <f t="shared" ca="1" si="317"/>
        <v>2.6421133807763564</v>
      </c>
      <c r="AH678" s="304">
        <f t="shared" ca="1" si="318"/>
        <v>11.716669458075833</v>
      </c>
    </row>
    <row r="679" spans="1:34" x14ac:dyDescent="0.2">
      <c r="A679" s="347">
        <f t="shared" ca="1" si="296"/>
        <v>0.01</v>
      </c>
      <c r="B679" s="304">
        <f t="shared" ca="1" si="297"/>
        <v>6.7499999999999005</v>
      </c>
      <c r="D679" s="306">
        <f t="shared" ca="1" si="298"/>
        <v>3.8451898864782921</v>
      </c>
      <c r="E679" s="307">
        <f t="shared" ca="1" si="299"/>
        <v>-0.44917937010379738</v>
      </c>
      <c r="F679" s="304">
        <f t="shared" ca="1" si="300"/>
        <v>3.871336638630356</v>
      </c>
      <c r="G679" s="306">
        <f t="shared" ca="1" si="301"/>
        <v>173.14795045003194</v>
      </c>
      <c r="H679" s="307">
        <f t="shared" ca="1" si="302"/>
        <v>421.41733992574035</v>
      </c>
      <c r="I679" s="304">
        <f t="shared" ca="1" si="303"/>
        <v>455.60156621233614</v>
      </c>
      <c r="J679" s="306">
        <f t="shared" ca="1" si="304"/>
        <v>596.01409434404809</v>
      </c>
      <c r="K679" s="307">
        <f t="shared" ca="1" si="305"/>
        <v>1553.9964472578258</v>
      </c>
      <c r="L679" s="304">
        <f t="shared" ca="1" si="290"/>
        <v>1664.3730827992563</v>
      </c>
      <c r="M679" s="306">
        <f t="shared" ca="1" si="306"/>
        <v>1.1809541017246932</v>
      </c>
      <c r="N679" s="304">
        <f t="shared" ca="1" si="307"/>
        <v>67.663685827488209</v>
      </c>
      <c r="P679" s="310">
        <f t="shared" ca="1" si="308"/>
        <v>19</v>
      </c>
      <c r="Q679" s="304">
        <f t="shared" ca="1" si="309"/>
        <v>1424.0931311477893</v>
      </c>
      <c r="R679" s="306">
        <f t="shared" ca="1" si="310"/>
        <v>0.85641277738544019</v>
      </c>
      <c r="S679" s="307">
        <f t="shared" ca="1" si="311"/>
        <v>15.322754405678701</v>
      </c>
      <c r="T679" s="304">
        <f t="shared" ca="1" si="291"/>
        <v>150.31622071970807</v>
      </c>
      <c r="U679" s="311">
        <f t="shared" ca="1" si="292"/>
        <v>0</v>
      </c>
      <c r="V679" s="306">
        <f t="shared" ca="1" si="293"/>
        <v>1.0483603079086503</v>
      </c>
      <c r="W679" s="304">
        <f t="shared" ca="1" si="294"/>
        <v>1268.5501603026723</v>
      </c>
      <c r="Y679" s="314" t="str">
        <f t="shared" ca="1" si="312"/>
        <v/>
      </c>
      <c r="Z679" s="315" t="str">
        <f t="shared" ca="1" si="313"/>
        <v/>
      </c>
      <c r="AA679" s="316" t="str">
        <f t="shared" ca="1" si="314"/>
        <v/>
      </c>
      <c r="AC679" s="310" t="e">
        <f t="shared" ca="1" si="315"/>
        <v>#N/A</v>
      </c>
      <c r="AD679" s="323" t="e">
        <f t="shared" ca="1" si="316"/>
        <v>#N/A</v>
      </c>
      <c r="AE679" s="324">
        <f t="shared" ca="1" si="295"/>
        <v>1553.9964472578258</v>
      </c>
      <c r="AG679" s="306">
        <f t="shared" ca="1" si="317"/>
        <v>1.0455535470152491</v>
      </c>
      <c r="AH679" s="304">
        <f t="shared" ca="1" si="318"/>
        <v>10.119804747531708</v>
      </c>
    </row>
    <row r="680" spans="1:34" x14ac:dyDescent="0.2">
      <c r="A680" s="347">
        <f t="shared" ca="1" si="296"/>
        <v>0.01</v>
      </c>
      <c r="B680" s="304">
        <f t="shared" ca="1" si="297"/>
        <v>6.7599999999999003</v>
      </c>
      <c r="D680" s="306">
        <f t="shared" ca="1" si="298"/>
        <v>3.2405729171157653</v>
      </c>
      <c r="E680" s="307">
        <f t="shared" ca="1" si="299"/>
        <v>-1.9229091333921113</v>
      </c>
      <c r="F680" s="304">
        <f t="shared" ca="1" si="300"/>
        <v>3.7681417657018934</v>
      </c>
      <c r="G680" s="306">
        <f t="shared" ca="1" si="301"/>
        <v>173.1803561792031</v>
      </c>
      <c r="H680" s="307">
        <f t="shared" ca="1" si="302"/>
        <v>421.39811083440645</v>
      </c>
      <c r="I680" s="304">
        <f t="shared" ca="1" si="303"/>
        <v>455.59609697753376</v>
      </c>
      <c r="J680" s="306">
        <f t="shared" ca="1" si="304"/>
        <v>597.74573587719431</v>
      </c>
      <c r="K680" s="307">
        <f t="shared" ca="1" si="305"/>
        <v>1558.2105245116265</v>
      </c>
      <c r="L680" s="304">
        <f t="shared" ca="1" si="290"/>
        <v>1668.9278005528481</v>
      </c>
      <c r="M680" s="306">
        <f t="shared" ca="1" si="306"/>
        <v>1.1808722701026395</v>
      </c>
      <c r="N680" s="304">
        <f t="shared" ca="1" si="307"/>
        <v>67.658997220913832</v>
      </c>
      <c r="P680" s="310">
        <f t="shared" ca="1" si="308"/>
        <v>19</v>
      </c>
      <c r="Q680" s="304">
        <f t="shared" ca="1" si="309"/>
        <v>1399.1335526934572</v>
      </c>
      <c r="R680" s="306">
        <f t="shared" ca="1" si="310"/>
        <v>0.84140273243900043</v>
      </c>
      <c r="S680" s="307">
        <f t="shared" ca="1" si="311"/>
        <v>15.314340378354311</v>
      </c>
      <c r="T680" s="304">
        <f t="shared" ca="1" si="291"/>
        <v>150.23367911165579</v>
      </c>
      <c r="U680" s="311">
        <f t="shared" ca="1" si="292"/>
        <v>0</v>
      </c>
      <c r="V680" s="306">
        <f t="shared" ca="1" si="293"/>
        <v>1.0479159242733591</v>
      </c>
      <c r="W680" s="304">
        <f t="shared" ca="1" si="294"/>
        <v>1267.9819982747028</v>
      </c>
      <c r="Y680" s="314" t="str">
        <f t="shared" ca="1" si="312"/>
        <v/>
      </c>
      <c r="Z680" s="315" t="str">
        <f t="shared" ca="1" si="313"/>
        <v/>
      </c>
      <c r="AA680" s="316" t="str">
        <f t="shared" ca="1" si="314"/>
        <v/>
      </c>
      <c r="AC680" s="310" t="e">
        <f t="shared" ca="1" si="315"/>
        <v>#N/A</v>
      </c>
      <c r="AD680" s="323" t="e">
        <f t="shared" ca="1" si="316"/>
        <v>#N/A</v>
      </c>
      <c r="AE680" s="324">
        <f t="shared" ca="1" si="295"/>
        <v>1558.2105245116265</v>
      </c>
      <c r="AG680" s="306">
        <f t="shared" ca="1" si="317"/>
        <v>-0.54707602325136229</v>
      </c>
      <c r="AH680" s="304">
        <f t="shared" ca="1" si="318"/>
        <v>8.5268701860221707</v>
      </c>
    </row>
    <row r="681" spans="1:34" x14ac:dyDescent="0.2">
      <c r="A681" s="347">
        <f t="shared" ca="1" si="296"/>
        <v>0.01</v>
      </c>
      <c r="B681" s="304">
        <f t="shared" ca="1" si="297"/>
        <v>6.7699999999999001</v>
      </c>
      <c r="D681" s="306">
        <f t="shared" ca="1" si="298"/>
        <v>2.6372205874235681</v>
      </c>
      <c r="E681" s="307">
        <f t="shared" ca="1" si="299"/>
        <v>-3.3928762689232101</v>
      </c>
      <c r="F681" s="304">
        <f t="shared" ca="1" si="300"/>
        <v>4.2972714369647393</v>
      </c>
      <c r="G681" s="306">
        <f t="shared" ca="1" si="301"/>
        <v>173.20672838507733</v>
      </c>
      <c r="H681" s="307">
        <f t="shared" ca="1" si="302"/>
        <v>421.36418207171721</v>
      </c>
      <c r="I681" s="304">
        <f t="shared" ca="1" si="303"/>
        <v>455.57474105884006</v>
      </c>
      <c r="J681" s="306">
        <f t="shared" ca="1" si="304"/>
        <v>599.47767130001569</v>
      </c>
      <c r="K681" s="307">
        <f t="shared" ca="1" si="305"/>
        <v>1562.4243359761572</v>
      </c>
      <c r="L681" s="304">
        <f t="shared" ca="1" si="290"/>
        <v>1673.4823823505956</v>
      </c>
      <c r="M681" s="306">
        <f t="shared" ca="1" si="306"/>
        <v>1.1807904183459708</v>
      </c>
      <c r="N681" s="304">
        <f t="shared" ca="1" si="307"/>
        <v>67.654307460710982</v>
      </c>
      <c r="P681" s="310">
        <f t="shared" ca="1" si="308"/>
        <v>19</v>
      </c>
      <c r="Q681" s="304">
        <f t="shared" ca="1" si="309"/>
        <v>1374.1739742391253</v>
      </c>
      <c r="R681" s="306">
        <f t="shared" ca="1" si="310"/>
        <v>0.8263926874925609</v>
      </c>
      <c r="S681" s="307">
        <f t="shared" ca="1" si="311"/>
        <v>15.306076451479385</v>
      </c>
      <c r="T681" s="304">
        <f t="shared" ca="1" si="291"/>
        <v>150.15260998901277</v>
      </c>
      <c r="U681" s="311">
        <f t="shared" ca="1" si="292"/>
        <v>0</v>
      </c>
      <c r="V681" s="306">
        <f t="shared" ca="1" si="293"/>
        <v>1.0474717423469495</v>
      </c>
      <c r="W681" s="304">
        <f t="shared" ca="1" si="294"/>
        <v>1267.3257172477329</v>
      </c>
      <c r="Y681" s="314" t="str">
        <f t="shared" ca="1" si="312"/>
        <v/>
      </c>
      <c r="Z681" s="315" t="str">
        <f t="shared" ca="1" si="313"/>
        <v/>
      </c>
      <c r="AA681" s="316" t="str">
        <f t="shared" ca="1" si="314"/>
        <v/>
      </c>
      <c r="AC681" s="310" t="e">
        <f t="shared" ca="1" si="315"/>
        <v>#N/A</v>
      </c>
      <c r="AD681" s="323" t="e">
        <f t="shared" ca="1" si="316"/>
        <v>#N/A</v>
      </c>
      <c r="AE681" s="324">
        <f t="shared" ca="1" si="295"/>
        <v>1562.4243359761572</v>
      </c>
      <c r="AG681" s="306">
        <f t="shared" ca="1" si="317"/>
        <v>-2.1357444802999961</v>
      </c>
      <c r="AH681" s="304">
        <f t="shared" ca="1" si="318"/>
        <v>6.9378966125677906</v>
      </c>
    </row>
    <row r="682" spans="1:34" x14ac:dyDescent="0.2">
      <c r="A682" s="347">
        <f t="shared" ca="1" si="296"/>
        <v>0.01</v>
      </c>
      <c r="B682" s="304">
        <f t="shared" ca="1" si="297"/>
        <v>6.7799999999998999</v>
      </c>
      <c r="D682" s="306">
        <f t="shared" ca="1" si="298"/>
        <v>2.0351451481158218</v>
      </c>
      <c r="E682" s="307">
        <f t="shared" ca="1" si="299"/>
        <v>-4.8590533553260711</v>
      </c>
      <c r="F682" s="304">
        <f t="shared" ca="1" si="300"/>
        <v>5.268037137663792</v>
      </c>
      <c r="G682" s="306">
        <f t="shared" ca="1" si="301"/>
        <v>173.22707983655849</v>
      </c>
      <c r="H682" s="307">
        <f t="shared" ca="1" si="302"/>
        <v>421.31559153816397</v>
      </c>
      <c r="I682" s="304">
        <f t="shared" ca="1" si="303"/>
        <v>455.53753836742635</v>
      </c>
      <c r="J682" s="306">
        <f t="shared" ca="1" si="304"/>
        <v>601.20984034112382</v>
      </c>
      <c r="K682" s="307">
        <f t="shared" ca="1" si="305"/>
        <v>1566.6377348442065</v>
      </c>
      <c r="L682" s="304">
        <f t="shared" ca="1" si="290"/>
        <v>1678.0366695518862</v>
      </c>
      <c r="M682" s="306">
        <f t="shared" ca="1" si="306"/>
        <v>1.1807085436012614</v>
      </c>
      <c r="N682" s="304">
        <f t="shared" ca="1" si="307"/>
        <v>67.649616383390423</v>
      </c>
      <c r="P682" s="310">
        <f t="shared" ca="1" si="308"/>
        <v>19</v>
      </c>
      <c r="Q682" s="304">
        <f t="shared" ca="1" si="309"/>
        <v>1349.2143957847932</v>
      </c>
      <c r="R682" s="306">
        <f t="shared" ca="1" si="310"/>
        <v>0.81138264254612114</v>
      </c>
      <c r="S682" s="307">
        <f t="shared" ca="1" si="311"/>
        <v>15.297962625053923</v>
      </c>
      <c r="T682" s="304">
        <f t="shared" ca="1" si="291"/>
        <v>150.073013351779</v>
      </c>
      <c r="U682" s="311">
        <f t="shared" ca="1" si="292"/>
        <v>0</v>
      </c>
      <c r="V682" s="306">
        <f t="shared" ca="1" si="293"/>
        <v>1.0470277774607859</v>
      </c>
      <c r="W682" s="304">
        <f t="shared" ca="1" si="294"/>
        <v>1266.5816825073343</v>
      </c>
      <c r="Y682" s="314" t="str">
        <f t="shared" ca="1" si="312"/>
        <v/>
      </c>
      <c r="Z682" s="315" t="str">
        <f t="shared" ca="1" si="313"/>
        <v/>
      </c>
      <c r="AA682" s="316" t="str">
        <f t="shared" ca="1" si="314"/>
        <v/>
      </c>
      <c r="AC682" s="310" t="e">
        <f t="shared" ca="1" si="315"/>
        <v>#N/A</v>
      </c>
      <c r="AD682" s="323" t="e">
        <f t="shared" ca="1" si="316"/>
        <v>#N/A</v>
      </c>
      <c r="AE682" s="324">
        <f t="shared" ca="1" si="295"/>
        <v>1566.6377348442065</v>
      </c>
      <c r="AG682" s="306">
        <f t="shared" ca="1" si="317"/>
        <v>-3.7204218255748041</v>
      </c>
      <c r="AH682" s="304">
        <f t="shared" ca="1" si="318"/>
        <v>5.3529140150302625</v>
      </c>
    </row>
    <row r="683" spans="1:34" x14ac:dyDescent="0.2">
      <c r="A683" s="347">
        <f t="shared" ca="1" si="296"/>
        <v>0.01</v>
      </c>
      <c r="B683" s="304">
        <f t="shared" ca="1" si="297"/>
        <v>6.7899999999998997</v>
      </c>
      <c r="D683" s="306">
        <f t="shared" ca="1" si="298"/>
        <v>1.4343585209206553</v>
      </c>
      <c r="E683" s="307">
        <f t="shared" ca="1" si="299"/>
        <v>-6.3214137507272454</v>
      </c>
      <c r="F683" s="304">
        <f t="shared" ca="1" si="300"/>
        <v>6.4821027587057882</v>
      </c>
      <c r="G683" s="306">
        <f t="shared" ca="1" si="301"/>
        <v>173.24142342176771</v>
      </c>
      <c r="H683" s="307">
        <f t="shared" ca="1" si="302"/>
        <v>421.25237740065671</v>
      </c>
      <c r="I683" s="304">
        <f t="shared" ca="1" si="303"/>
        <v>455.48452910599008</v>
      </c>
      <c r="J683" s="306">
        <f t="shared" ca="1" si="304"/>
        <v>602.94218285741545</v>
      </c>
      <c r="K683" s="307">
        <f t="shared" ca="1" si="305"/>
        <v>1570.8505746889007</v>
      </c>
      <c r="L683" s="304">
        <f t="shared" ca="1" si="290"/>
        <v>1682.5905039163019</v>
      </c>
      <c r="M683" s="306">
        <f t="shared" ca="1" si="306"/>
        <v>1.1806266430186487</v>
      </c>
      <c r="N683" s="304">
        <f t="shared" ca="1" si="307"/>
        <v>67.64492382566705</v>
      </c>
      <c r="P683" s="310">
        <f t="shared" ca="1" si="308"/>
        <v>19</v>
      </c>
      <c r="Q683" s="304">
        <f t="shared" ca="1" si="309"/>
        <v>1324.2548173304613</v>
      </c>
      <c r="R683" s="306">
        <f t="shared" ca="1" si="310"/>
        <v>0.7963725975996816</v>
      </c>
      <c r="S683" s="307">
        <f t="shared" ca="1" si="311"/>
        <v>15.289998899077926</v>
      </c>
      <c r="T683" s="304">
        <f t="shared" ca="1" si="291"/>
        <v>149.99488919995446</v>
      </c>
      <c r="U683" s="311">
        <f t="shared" ca="1" si="292"/>
        <v>0</v>
      </c>
      <c r="V683" s="306">
        <f t="shared" ca="1" si="293"/>
        <v>1.0465840448821377</v>
      </c>
      <c r="W683" s="304">
        <f t="shared" ca="1" si="294"/>
        <v>1265.7502695005687</v>
      </c>
      <c r="Y683" s="314" t="str">
        <f t="shared" ca="1" si="312"/>
        <v/>
      </c>
      <c r="Z683" s="315" t="str">
        <f t="shared" ca="1" si="313"/>
        <v/>
      </c>
      <c r="AA683" s="316" t="str">
        <f t="shared" ca="1" si="314"/>
        <v/>
      </c>
      <c r="AC683" s="310" t="e">
        <f t="shared" ca="1" si="315"/>
        <v>#N/A</v>
      </c>
      <c r="AD683" s="323" t="e">
        <f t="shared" ca="1" si="316"/>
        <v>#N/A</v>
      </c>
      <c r="AE683" s="324">
        <f t="shared" ca="1" si="295"/>
        <v>1570.8505746889007</v>
      </c>
      <c r="AG683" s="306">
        <f t="shared" ca="1" si="317"/>
        <v>-5.3010789064316528</v>
      </c>
      <c r="AH683" s="304">
        <f t="shared" ca="1" si="318"/>
        <v>3.7719515353663597</v>
      </c>
    </row>
    <row r="684" spans="1:34" x14ac:dyDescent="0.2">
      <c r="A684" s="347">
        <f t="shared" ca="1" si="296"/>
        <v>0.01</v>
      </c>
      <c r="B684" s="304">
        <f t="shared" ca="1" si="297"/>
        <v>6.7999999999998995</v>
      </c>
      <c r="D684" s="306">
        <f t="shared" ca="1" si="298"/>
        <v>0.8348723004533728</v>
      </c>
      <c r="E684" s="307">
        <f t="shared" ca="1" si="299"/>
        <v>-7.7799315876912338</v>
      </c>
      <c r="F684" s="304">
        <f t="shared" ca="1" si="300"/>
        <v>7.8245988566328526</v>
      </c>
      <c r="G684" s="306">
        <f t="shared" ca="1" si="301"/>
        <v>173.24977214477224</v>
      </c>
      <c r="H684" s="307">
        <f t="shared" ca="1" si="302"/>
        <v>421.1745780847798</v>
      </c>
      <c r="I684" s="304">
        <f t="shared" ca="1" si="303"/>
        <v>455.41575376035001</v>
      </c>
      <c r="J684" s="306">
        <f t="shared" ca="1" si="304"/>
        <v>604.67463883524817</v>
      </c>
      <c r="K684" s="307">
        <f t="shared" ca="1" si="305"/>
        <v>1575.0627094663278</v>
      </c>
      <c r="L684" s="304">
        <f t="shared" ca="1" si="290"/>
        <v>1687.1437276064974</v>
      </c>
      <c r="M684" s="306">
        <f t="shared" ca="1" si="306"/>
        <v>1.1805447137513001</v>
      </c>
      <c r="N684" s="304">
        <f t="shared" ca="1" si="307"/>
        <v>67.640229624429381</v>
      </c>
      <c r="P684" s="310">
        <f t="shared" ca="1" si="308"/>
        <v>19</v>
      </c>
      <c r="Q684" s="304">
        <f t="shared" ca="1" si="309"/>
        <v>1299.2952388761291</v>
      </c>
      <c r="R684" s="306">
        <f t="shared" ca="1" si="310"/>
        <v>0.78136255265324195</v>
      </c>
      <c r="S684" s="307">
        <f t="shared" ca="1" si="311"/>
        <v>15.282185273551393</v>
      </c>
      <c r="T684" s="304">
        <f t="shared" ca="1" si="291"/>
        <v>149.91823753353918</v>
      </c>
      <c r="U684" s="311">
        <f t="shared" ca="1" si="292"/>
        <v>0</v>
      </c>
      <c r="V684" s="306">
        <f t="shared" ca="1" si="293"/>
        <v>1.0461405598140225</v>
      </c>
      <c r="W684" s="304">
        <f t="shared" ca="1" si="294"/>
        <v>1264.8318636757942</v>
      </c>
      <c r="Y684" s="314" t="str">
        <f t="shared" ca="1" si="312"/>
        <v/>
      </c>
      <c r="Z684" s="315" t="str">
        <f t="shared" ca="1" si="313"/>
        <v/>
      </c>
      <c r="AA684" s="316" t="str">
        <f t="shared" ca="1" si="314"/>
        <v/>
      </c>
      <c r="AC684" s="310" t="e">
        <f t="shared" ca="1" si="315"/>
        <v>#N/A</v>
      </c>
      <c r="AD684" s="323" t="e">
        <f t="shared" ca="1" si="316"/>
        <v>#N/A</v>
      </c>
      <c r="AE684" s="324">
        <f t="shared" ca="1" si="295"/>
        <v>1575.0627094663278</v>
      </c>
      <c r="AG684" s="306">
        <f t="shared" ca="1" si="317"/>
        <v>-6.8776874107495409</v>
      </c>
      <c r="AH684" s="304">
        <f t="shared" ca="1" si="318"/>
        <v>2.1950374750145252</v>
      </c>
    </row>
    <row r="685" spans="1:34" x14ac:dyDescent="0.2">
      <c r="A685" s="347">
        <f t="shared" ca="1" si="296"/>
        <v>0.01</v>
      </c>
      <c r="B685" s="304">
        <f t="shared" ca="1" si="297"/>
        <v>6.8099999999998992</v>
      </c>
      <c r="D685" s="306">
        <f t="shared" ca="1" si="298"/>
        <v>0.23669775613745497</v>
      </c>
      <c r="E685" s="307">
        <f t="shared" ca="1" si="299"/>
        <v>-9.2345817680412186</v>
      </c>
      <c r="F685" s="304">
        <f t="shared" ca="1" si="300"/>
        <v>9.2376147494036456</v>
      </c>
      <c r="G685" s="306">
        <f t="shared" ca="1" si="301"/>
        <v>173.2521391223336</v>
      </c>
      <c r="H685" s="307">
        <f t="shared" ca="1" si="302"/>
        <v>421.08223226709936</v>
      </c>
      <c r="I685" s="304">
        <f t="shared" ca="1" si="303"/>
        <v>455.33125309109619</v>
      </c>
      <c r="J685" s="306">
        <f t="shared" ca="1" si="304"/>
        <v>606.40714839158375</v>
      </c>
      <c r="K685" s="307">
        <f t="shared" ca="1" si="305"/>
        <v>1579.2739935180871</v>
      </c>
      <c r="L685" s="304">
        <f t="shared" ca="1" si="290"/>
        <v>1691.6961831909946</v>
      </c>
      <c r="M685" s="306">
        <f t="shared" ca="1" si="306"/>
        <v>1.1804627529548841</v>
      </c>
      <c r="N685" s="304">
        <f t="shared" ca="1" si="307"/>
        <v>67.63553361670921</v>
      </c>
      <c r="P685" s="310">
        <f t="shared" ca="1" si="308"/>
        <v>19</v>
      </c>
      <c r="Q685" s="304">
        <f t="shared" ca="1" si="309"/>
        <v>1274.335660421797</v>
      </c>
      <c r="R685" s="306">
        <f t="shared" ca="1" si="310"/>
        <v>0.76635250770680219</v>
      </c>
      <c r="S685" s="307">
        <f t="shared" ca="1" si="311"/>
        <v>15.274521748474326</v>
      </c>
      <c r="T685" s="304">
        <f t="shared" ca="1" si="291"/>
        <v>149.84305835253315</v>
      </c>
      <c r="U685" s="311">
        <f t="shared" ca="1" si="292"/>
        <v>0</v>
      </c>
      <c r="V685" s="306">
        <f t="shared" ca="1" si="293"/>
        <v>1.0456973373950609</v>
      </c>
      <c r="W685" s="304">
        <f t="shared" ca="1" si="294"/>
        <v>1263.8268603227029</v>
      </c>
      <c r="Y685" s="314" t="str">
        <f t="shared" ca="1" si="312"/>
        <v/>
      </c>
      <c r="Z685" s="315" t="str">
        <f t="shared" ca="1" si="313"/>
        <v/>
      </c>
      <c r="AA685" s="316" t="str">
        <f t="shared" ca="1" si="314"/>
        <v/>
      </c>
      <c r="AC685" s="310" t="e">
        <f t="shared" ca="1" si="315"/>
        <v>#N/A</v>
      </c>
      <c r="AD685" s="323" t="e">
        <f t="shared" ca="1" si="316"/>
        <v>#N/A</v>
      </c>
      <c r="AE685" s="324">
        <f t="shared" ca="1" si="295"/>
        <v>1579.2739935180871</v>
      </c>
      <c r="AG685" s="306">
        <f t="shared" ca="1" si="317"/>
        <v>-8.4502198614131867</v>
      </c>
      <c r="AH685" s="304">
        <f t="shared" ca="1" si="318"/>
        <v>0.62219930041030813</v>
      </c>
    </row>
    <row r="686" spans="1:34" x14ac:dyDescent="0.2">
      <c r="A686" s="347">
        <f t="shared" ca="1" si="296"/>
        <v>0.01</v>
      </c>
      <c r="B686" s="304">
        <f t="shared" ca="1" si="297"/>
        <v>6.819999999999899</v>
      </c>
      <c r="D686" s="306">
        <f t="shared" ca="1" si="298"/>
        <v>-0.36015416582802312</v>
      </c>
      <c r="E686" s="307">
        <f t="shared" ca="1" si="299"/>
        <v>-10.685339957563674</v>
      </c>
      <c r="F686" s="304">
        <f t="shared" ca="1" si="300"/>
        <v>10.69140781337379</v>
      </c>
      <c r="G686" s="306">
        <f t="shared" ca="1" si="301"/>
        <v>173.24853758067533</v>
      </c>
      <c r="H686" s="307">
        <f t="shared" ca="1" si="302"/>
        <v>420.97537886752372</v>
      </c>
      <c r="I686" s="304">
        <f t="shared" ca="1" si="303"/>
        <v>455.23106812529591</v>
      </c>
      <c r="J686" s="306">
        <f t="shared" ca="1" si="304"/>
        <v>608.13965177509874</v>
      </c>
      <c r="K686" s="307">
        <f t="shared" ca="1" si="305"/>
        <v>1583.4842815737602</v>
      </c>
      <c r="L686" s="304">
        <f t="shared" ca="1" si="290"/>
        <v>1696.2477136468913</v>
      </c>
      <c r="M686" s="306">
        <f t="shared" ca="1" si="306"/>
        <v>1.1803807577870415</v>
      </c>
      <c r="N686" s="304">
        <f t="shared" ca="1" si="307"/>
        <v>67.630835639651366</v>
      </c>
      <c r="P686" s="310">
        <f t="shared" ca="1" si="308"/>
        <v>19</v>
      </c>
      <c r="Q686" s="304">
        <f t="shared" ca="1" si="309"/>
        <v>1249.3760819674651</v>
      </c>
      <c r="R686" s="306">
        <f t="shared" ca="1" si="310"/>
        <v>0.75134246276036265</v>
      </c>
      <c r="S686" s="307">
        <f t="shared" ca="1" si="311"/>
        <v>15.267008323846722</v>
      </c>
      <c r="T686" s="304">
        <f t="shared" ca="1" si="291"/>
        <v>149.76935165693635</v>
      </c>
      <c r="U686" s="311">
        <f t="shared" ca="1" si="292"/>
        <v>0</v>
      </c>
      <c r="V686" s="306">
        <f t="shared" ca="1" si="293"/>
        <v>1.0452543926993405</v>
      </c>
      <c r="W686" s="304">
        <f t="shared" ca="1" si="294"/>
        <v>1262.7356644126376</v>
      </c>
      <c r="Y686" s="314" t="str">
        <f t="shared" ca="1" si="312"/>
        <v/>
      </c>
      <c r="Z686" s="315" t="str">
        <f t="shared" ca="1" si="313"/>
        <v/>
      </c>
      <c r="AA686" s="316" t="str">
        <f t="shared" ca="1" si="314"/>
        <v/>
      </c>
      <c r="AC686" s="310" t="e">
        <f t="shared" ca="1" si="315"/>
        <v>#N/A</v>
      </c>
      <c r="AD686" s="323" t="e">
        <f t="shared" ca="1" si="316"/>
        <v>#N/A</v>
      </c>
      <c r="AE686" s="324">
        <f t="shared" ca="1" si="295"/>
        <v>1583.4842815737602</v>
      </c>
      <c r="AG686" s="306">
        <f t="shared" ca="1" si="317"/>
        <v>-10.018649610670604</v>
      </c>
      <c r="AH686" s="304">
        <f t="shared" ca="1" si="318"/>
        <v>-0.94653635137317993</v>
      </c>
    </row>
    <row r="687" spans="1:34" x14ac:dyDescent="0.2">
      <c r="A687" s="347">
        <f t="shared" ca="1" si="296"/>
        <v>0.01</v>
      </c>
      <c r="B687" s="304">
        <f t="shared" ca="1" si="297"/>
        <v>6.8299999999998988</v>
      </c>
      <c r="D687" s="306">
        <f t="shared" ca="1" si="298"/>
        <v>-0.95567284045594081</v>
      </c>
      <c r="E687" s="307">
        <f t="shared" ca="1" si="299"/>
        <v>-12.132182580600425</v>
      </c>
      <c r="F687" s="304">
        <f t="shared" ca="1" si="300"/>
        <v>12.169764366946861</v>
      </c>
      <c r="G687" s="306">
        <f t="shared" ca="1" si="301"/>
        <v>173.23898085227077</v>
      </c>
      <c r="H687" s="307">
        <f t="shared" ca="1" si="302"/>
        <v>420.85405704171774</v>
      </c>
      <c r="I687" s="304">
        <f t="shared" ca="1" si="303"/>
        <v>455.11524014825829</v>
      </c>
      <c r="J687" s="306">
        <f t="shared" ca="1" si="304"/>
        <v>609.87208936726347</v>
      </c>
      <c r="K687" s="307">
        <f t="shared" ca="1" si="305"/>
        <v>1587.6934287533063</v>
      </c>
      <c r="L687" s="304">
        <f t="shared" ca="1" si="290"/>
        <v>1700.7981623624894</v>
      </c>
      <c r="M687" s="306">
        <f t="shared" ca="1" si="306"/>
        <v>1.180298725406858</v>
      </c>
      <c r="N687" s="304">
        <f t="shared" ca="1" si="307"/>
        <v>67.626135530483438</v>
      </c>
      <c r="P687" s="310">
        <f t="shared" ca="1" si="308"/>
        <v>19</v>
      </c>
      <c r="Q687" s="304">
        <f t="shared" ca="1" si="309"/>
        <v>1224.416503513133</v>
      </c>
      <c r="R687" s="306">
        <f t="shared" ca="1" si="310"/>
        <v>0.73633241781392289</v>
      </c>
      <c r="S687" s="307">
        <f t="shared" ca="1" si="311"/>
        <v>15.259644999668584</v>
      </c>
      <c r="T687" s="304">
        <f t="shared" ca="1" si="291"/>
        <v>149.69711744674882</v>
      </c>
      <c r="U687" s="311">
        <f t="shared" ca="1" si="292"/>
        <v>0</v>
      </c>
      <c r="V687" s="306">
        <f t="shared" ca="1" si="293"/>
        <v>1.044811740736294</v>
      </c>
      <c r="W687" s="304">
        <f t="shared" ca="1" si="294"/>
        <v>1261.558690439258</v>
      </c>
      <c r="Y687" s="314" t="str">
        <f t="shared" ca="1" si="312"/>
        <v/>
      </c>
      <c r="Z687" s="315" t="str">
        <f t="shared" ca="1" si="313"/>
        <v/>
      </c>
      <c r="AA687" s="316" t="str">
        <f t="shared" ca="1" si="314"/>
        <v/>
      </c>
      <c r="AC687" s="310" t="e">
        <f t="shared" ca="1" si="315"/>
        <v>#N/A</v>
      </c>
      <c r="AD687" s="323" t="e">
        <f t="shared" ca="1" si="316"/>
        <v>#N/A</v>
      </c>
      <c r="AE687" s="324">
        <f t="shared" ca="1" si="295"/>
        <v>1587.6934287533063</v>
      </c>
      <c r="AG687" s="306">
        <f t="shared" ca="1" si="317"/>
        <v>-11.582950834369463</v>
      </c>
      <c r="AH687" s="304">
        <f t="shared" ca="1" si="318"/>
        <v>-2.5111436668636018</v>
      </c>
    </row>
    <row r="688" spans="1:34" x14ac:dyDescent="0.2">
      <c r="A688" s="347">
        <f t="shared" ca="1" si="296"/>
        <v>0.01</v>
      </c>
      <c r="B688" s="304">
        <f t="shared" ca="1" si="297"/>
        <v>6.8399999999998986</v>
      </c>
      <c r="D688" s="306">
        <f t="shared" ca="1" si="298"/>
        <v>-1.549847961915596</v>
      </c>
      <c r="E688" s="307">
        <f t="shared" ca="1" si="299"/>
        <v>-13.575086814532982</v>
      </c>
      <c r="F688" s="304">
        <f t="shared" ca="1" si="300"/>
        <v>13.663272328661284</v>
      </c>
      <c r="G688" s="306">
        <f t="shared" ca="1" si="301"/>
        <v>173.2234823726516</v>
      </c>
      <c r="H688" s="307">
        <f t="shared" ca="1" si="302"/>
        <v>420.71830617357239</v>
      </c>
      <c r="I688" s="304">
        <f t="shared" ca="1" si="303"/>
        <v>454.98381069535662</v>
      </c>
      <c r="J688" s="306">
        <f t="shared" ca="1" si="304"/>
        <v>611.60440168338812</v>
      </c>
      <c r="K688" s="307">
        <f t="shared" ca="1" si="305"/>
        <v>1591.9012905693828</v>
      </c>
      <c r="L688" s="304">
        <f t="shared" ca="1" si="290"/>
        <v>1705.3473731398426</v>
      </c>
      <c r="M688" s="306">
        <f t="shared" ca="1" si="306"/>
        <v>1.1802166529743381</v>
      </c>
      <c r="N688" s="304">
        <f t="shared" ca="1" si="307"/>
        <v>67.62143312648567</v>
      </c>
      <c r="P688" s="310">
        <f t="shared" ca="1" si="308"/>
        <v>19</v>
      </c>
      <c r="Q688" s="304">
        <f t="shared" ca="1" si="309"/>
        <v>1199.4569250588011</v>
      </c>
      <c r="R688" s="306">
        <f t="shared" ca="1" si="310"/>
        <v>0.72132237286748335</v>
      </c>
      <c r="S688" s="307">
        <f t="shared" ca="1" si="311"/>
        <v>15.252431775939909</v>
      </c>
      <c r="T688" s="304">
        <f t="shared" ca="1" si="291"/>
        <v>149.62635572197053</v>
      </c>
      <c r="U688" s="311">
        <f t="shared" ca="1" si="292"/>
        <v>0</v>
      </c>
      <c r="V688" s="306">
        <f t="shared" ca="1" si="293"/>
        <v>1.0443693964505831</v>
      </c>
      <c r="W688" s="304">
        <f t="shared" ca="1" si="294"/>
        <v>1260.296362259573</v>
      </c>
      <c r="Y688" s="314" t="str">
        <f t="shared" ca="1" si="312"/>
        <v/>
      </c>
      <c r="Z688" s="315" t="str">
        <f t="shared" ca="1" si="313"/>
        <v/>
      </c>
      <c r="AA688" s="316" t="str">
        <f t="shared" ca="1" si="314"/>
        <v/>
      </c>
      <c r="AC688" s="310" t="e">
        <f t="shared" ca="1" si="315"/>
        <v>#N/A</v>
      </c>
      <c r="AD688" s="323" t="e">
        <f t="shared" ca="1" si="316"/>
        <v>#N/A</v>
      </c>
      <c r="AE688" s="324">
        <f t="shared" ca="1" si="295"/>
        <v>1591.9012905693828</v>
      </c>
      <c r="AG688" s="306">
        <f t="shared" ca="1" si="317"/>
        <v>-13.143098526077456</v>
      </c>
      <c r="AH688" s="304">
        <f t="shared" ca="1" si="318"/>
        <v>-4.0715976503117348</v>
      </c>
    </row>
    <row r="689" spans="1:34" x14ac:dyDescent="0.2">
      <c r="A689" s="347">
        <f t="shared" ca="1" si="296"/>
        <v>0.01</v>
      </c>
      <c r="B689" s="304">
        <f t="shared" ca="1" si="297"/>
        <v>6.8499999999998984</v>
      </c>
      <c r="D689" s="306">
        <f t="shared" ca="1" si="298"/>
        <v>-2.1426695414348673</v>
      </c>
      <c r="E689" s="307">
        <f t="shared" ca="1" si="299"/>
        <v>-15.014030584161173</v>
      </c>
      <c r="F689" s="304">
        <f t="shared" ca="1" si="300"/>
        <v>15.16615136235689</v>
      </c>
      <c r="G689" s="306">
        <f t="shared" ca="1" si="301"/>
        <v>173.20205567723724</v>
      </c>
      <c r="H689" s="307">
        <f t="shared" ca="1" si="302"/>
        <v>420.56816586773078</v>
      </c>
      <c r="I689" s="304">
        <f t="shared" ca="1" si="303"/>
        <v>454.83682154391141</v>
      </c>
      <c r="J689" s="306">
        <f t="shared" ca="1" si="304"/>
        <v>613.33652937363752</v>
      </c>
      <c r="K689" s="307">
        <f t="shared" ca="1" si="305"/>
        <v>1596.1077229295893</v>
      </c>
      <c r="L689" s="304">
        <f t="shared" ca="1" si="290"/>
        <v>1709.8951901972171</v>
      </c>
      <c r="M689" s="306">
        <f t="shared" ca="1" si="306"/>
        <v>1.1801345376498797</v>
      </c>
      <c r="N689" s="304">
        <f t="shared" ca="1" si="307"/>
        <v>67.616728264960855</v>
      </c>
      <c r="P689" s="310">
        <f t="shared" ca="1" si="308"/>
        <v>19</v>
      </c>
      <c r="Q689" s="304">
        <f t="shared" ca="1" si="309"/>
        <v>1174.4973466044689</v>
      </c>
      <c r="R689" s="306">
        <f t="shared" ca="1" si="310"/>
        <v>0.70631232792104359</v>
      </c>
      <c r="S689" s="307">
        <f t="shared" ca="1" si="311"/>
        <v>15.2453686526607</v>
      </c>
      <c r="T689" s="304">
        <f t="shared" ca="1" si="291"/>
        <v>149.55706648260147</v>
      </c>
      <c r="U689" s="311">
        <f t="shared" ca="1" si="292"/>
        <v>0</v>
      </c>
      <c r="V689" s="306">
        <f t="shared" ca="1" si="293"/>
        <v>1.0439273747219937</v>
      </c>
      <c r="W689" s="304">
        <f t="shared" ca="1" si="294"/>
        <v>1258.9491129354092</v>
      </c>
      <c r="Y689" s="314" t="str">
        <f t="shared" ca="1" si="312"/>
        <v/>
      </c>
      <c r="Z689" s="315" t="str">
        <f t="shared" ca="1" si="313"/>
        <v/>
      </c>
      <c r="AA689" s="316" t="str">
        <f t="shared" ca="1" si="314"/>
        <v/>
      </c>
      <c r="AC689" s="310" t="e">
        <f t="shared" ca="1" si="315"/>
        <v>#N/A</v>
      </c>
      <c r="AD689" s="323" t="e">
        <f t="shared" ca="1" si="316"/>
        <v>#N/A</v>
      </c>
      <c r="AE689" s="324">
        <f t="shared" ca="1" si="295"/>
        <v>1596.1077229295893</v>
      </c>
      <c r="AG689" s="306">
        <f t="shared" ca="1" si="317"/>
        <v>-14.699068491088871</v>
      </c>
      <c r="AH689" s="304">
        <f t="shared" ca="1" si="318"/>
        <v>-5.6278741177000011</v>
      </c>
    </row>
    <row r="690" spans="1:34" x14ac:dyDescent="0.2">
      <c r="A690" s="347">
        <f t="shared" ca="1" si="296"/>
        <v>0.01</v>
      </c>
      <c r="B690" s="304">
        <f t="shared" ca="1" si="297"/>
        <v>6.8599999999998982</v>
      </c>
      <c r="D690" s="306">
        <f t="shared" ca="1" si="298"/>
        <v>-2.7341279051620151</v>
      </c>
      <c r="E690" s="307">
        <f t="shared" ca="1" si="299"/>
        <v>-16.448992555980915</v>
      </c>
      <c r="F690" s="304">
        <f t="shared" ca="1" si="300"/>
        <v>16.674675754223863</v>
      </c>
      <c r="G690" s="306">
        <f t="shared" ca="1" si="301"/>
        <v>173.17471439818561</v>
      </c>
      <c r="H690" s="307">
        <f t="shared" ca="1" si="302"/>
        <v>420.40367594217099</v>
      </c>
      <c r="I690" s="304">
        <f t="shared" ca="1" si="303"/>
        <v>454.67431470513384</v>
      </c>
      <c r="J690" s="306">
        <f t="shared" ca="1" si="304"/>
        <v>615.06841322401465</v>
      </c>
      <c r="K690" s="307">
        <f t="shared" ca="1" si="305"/>
        <v>1600.3125821386388</v>
      </c>
      <c r="L690" s="304">
        <f t="shared" ca="1" si="290"/>
        <v>1714.4414581714784</v>
      </c>
      <c r="M690" s="306">
        <f t="shared" ca="1" si="306"/>
        <v>1.1800523765937496</v>
      </c>
      <c r="N690" s="304">
        <f t="shared" ca="1" si="307"/>
        <v>67.612020783204272</v>
      </c>
      <c r="P690" s="310">
        <f t="shared" ca="1" si="308"/>
        <v>19</v>
      </c>
      <c r="Q690" s="304">
        <f t="shared" ca="1" si="309"/>
        <v>1149.5377681501368</v>
      </c>
      <c r="R690" s="306">
        <f t="shared" ca="1" si="310"/>
        <v>0.69130228297460394</v>
      </c>
      <c r="S690" s="307">
        <f t="shared" ca="1" si="311"/>
        <v>15.238455629830954</v>
      </c>
      <c r="T690" s="304">
        <f t="shared" ca="1" si="291"/>
        <v>149.48924972864165</v>
      </c>
      <c r="U690" s="311">
        <f t="shared" ca="1" si="292"/>
        <v>0</v>
      </c>
      <c r="V690" s="306">
        <f t="shared" ca="1" si="293"/>
        <v>1.0434856903653444</v>
      </c>
      <c r="W690" s="304">
        <f t="shared" ca="1" si="294"/>
        <v>1257.5173845753586</v>
      </c>
      <c r="Y690" s="314" t="str">
        <f t="shared" ca="1" si="312"/>
        <v/>
      </c>
      <c r="Z690" s="315" t="str">
        <f t="shared" ca="1" si="313"/>
        <v/>
      </c>
      <c r="AA690" s="316" t="str">
        <f t="shared" ca="1" si="314"/>
        <v/>
      </c>
      <c r="AC690" s="310" t="e">
        <f t="shared" ca="1" si="315"/>
        <v>#N/A</v>
      </c>
      <c r="AD690" s="323" t="e">
        <f t="shared" ca="1" si="316"/>
        <v>#N/A</v>
      </c>
      <c r="AE690" s="324">
        <f t="shared" ca="1" si="295"/>
        <v>1600.3125821386388</v>
      </c>
      <c r="AG690" s="306">
        <f t="shared" ca="1" si="317"/>
        <v>-16.250837340322526</v>
      </c>
      <c r="AH690" s="304">
        <f t="shared" ca="1" si="318"/>
        <v>-7.1799496906423794</v>
      </c>
    </row>
    <row r="691" spans="1:34" x14ac:dyDescent="0.2">
      <c r="A691" s="347">
        <f t="shared" ca="1" si="296"/>
        <v>0.01</v>
      </c>
      <c r="B691" s="304">
        <f t="shared" ca="1" si="297"/>
        <v>6.869999999999898</v>
      </c>
      <c r="D691" s="306">
        <f t="shared" ca="1" si="298"/>
        <v>-3.3242136919885779</v>
      </c>
      <c r="E691" s="307">
        <f t="shared" ca="1" si="299"/>
        <v>-17.87995213236475</v>
      </c>
      <c r="F691" s="304">
        <f t="shared" ca="1" si="300"/>
        <v>18.186343363239878</v>
      </c>
      <c r="G691" s="306">
        <f t="shared" ca="1" si="301"/>
        <v>173.14147226126573</v>
      </c>
      <c r="H691" s="307">
        <f t="shared" ca="1" si="302"/>
        <v>420.22487642084735</v>
      </c>
      <c r="I691" s="304">
        <f t="shared" ca="1" si="303"/>
        <v>454.49633241613191</v>
      </c>
      <c r="J691" s="306">
        <f t="shared" ca="1" si="304"/>
        <v>616.79999415731186</v>
      </c>
      <c r="K691" s="307">
        <f t="shared" ca="1" si="305"/>
        <v>1604.515724900454</v>
      </c>
      <c r="L691" s="304">
        <f t="shared" ca="1" si="290"/>
        <v>1718.9860221203921</v>
      </c>
      <c r="M691" s="306">
        <f t="shared" ca="1" si="306"/>
        <v>1.1799701669655576</v>
      </c>
      <c r="N691" s="304">
        <f t="shared" ca="1" si="307"/>
        <v>67.607310518473525</v>
      </c>
      <c r="P691" s="310">
        <f t="shared" ca="1" si="308"/>
        <v>19</v>
      </c>
      <c r="Q691" s="304">
        <f t="shared" ca="1" si="309"/>
        <v>1124.5781896958047</v>
      </c>
      <c r="R691" s="306">
        <f t="shared" ca="1" si="310"/>
        <v>0.67629223802816418</v>
      </c>
      <c r="S691" s="307">
        <f t="shared" ca="1" si="311"/>
        <v>15.231692707450673</v>
      </c>
      <c r="T691" s="304">
        <f t="shared" ca="1" si="291"/>
        <v>149.4229054600911</v>
      </c>
      <c r="U691" s="311">
        <f t="shared" ca="1" si="292"/>
        <v>0</v>
      </c>
      <c r="V691" s="306">
        <f t="shared" ca="1" si="293"/>
        <v>1.0430443581304008</v>
      </c>
      <c r="W691" s="304">
        <f t="shared" ca="1" si="294"/>
        <v>1256.0016281772405</v>
      </c>
      <c r="Y691" s="314" t="str">
        <f t="shared" ca="1" si="312"/>
        <v/>
      </c>
      <c r="Z691" s="315" t="str">
        <f t="shared" ca="1" si="313"/>
        <v/>
      </c>
      <c r="AA691" s="316" t="str">
        <f t="shared" ca="1" si="314"/>
        <v/>
      </c>
      <c r="AC691" s="310" t="e">
        <f t="shared" ca="1" si="315"/>
        <v>#N/A</v>
      </c>
      <c r="AD691" s="323" t="e">
        <f t="shared" ca="1" si="316"/>
        <v>#N/A</v>
      </c>
      <c r="AE691" s="324">
        <f t="shared" ca="1" si="295"/>
        <v>1604.515724900454</v>
      </c>
      <c r="AG691" s="306">
        <f t="shared" ca="1" si="317"/>
        <v>-17.798382484115031</v>
      </c>
      <c r="AH691" s="304">
        <f t="shared" ca="1" si="318"/>
        <v>-8.7278017901796261</v>
      </c>
    </row>
    <row r="692" spans="1:34" x14ac:dyDescent="0.2">
      <c r="A692" s="347">
        <f t="shared" ca="1" si="296"/>
        <v>0.01</v>
      </c>
      <c r="B692" s="304">
        <f t="shared" ca="1" si="297"/>
        <v>6.8799999999998978</v>
      </c>
      <c r="D692" s="306">
        <f t="shared" ca="1" si="298"/>
        <v>-3.9129178513345102</v>
      </c>
      <c r="E692" s="307">
        <f t="shared" ca="1" si="299"/>
        <v>-19.306889445648011</v>
      </c>
      <c r="F692" s="304">
        <f t="shared" ca="1" si="300"/>
        <v>19.69941385365988</v>
      </c>
      <c r="G692" s="306">
        <f t="shared" ca="1" si="301"/>
        <v>173.10234308275238</v>
      </c>
      <c r="H692" s="307">
        <f t="shared" ca="1" si="302"/>
        <v>420.03180752639088</v>
      </c>
      <c r="I692" s="304">
        <f t="shared" ca="1" si="303"/>
        <v>454.30291713197926</v>
      </c>
      <c r="J692" s="306">
        <f t="shared" ca="1" si="304"/>
        <v>618.53121323403195</v>
      </c>
      <c r="K692" s="307">
        <f t="shared" ca="1" si="305"/>
        <v>1608.7170083201902</v>
      </c>
      <c r="L692" s="304">
        <f t="shared" ca="1" si="290"/>
        <v>1723.5287275248493</v>
      </c>
      <c r="M692" s="306">
        <f t="shared" ca="1" si="306"/>
        <v>1.1798879059237335</v>
      </c>
      <c r="N692" s="304">
        <f t="shared" ca="1" si="307"/>
        <v>67.602597307958646</v>
      </c>
      <c r="P692" s="310">
        <f t="shared" ca="1" si="308"/>
        <v>19</v>
      </c>
      <c r="Q692" s="304">
        <f t="shared" ca="1" si="309"/>
        <v>1099.6186112414728</v>
      </c>
      <c r="R692" s="306">
        <f t="shared" ca="1" si="310"/>
        <v>0.66128219308172465</v>
      </c>
      <c r="S692" s="307">
        <f t="shared" ca="1" si="311"/>
        <v>15.225079885519856</v>
      </c>
      <c r="T692" s="304">
        <f t="shared" ca="1" si="291"/>
        <v>149.35803367694979</v>
      </c>
      <c r="U692" s="311">
        <f t="shared" ca="1" si="292"/>
        <v>0</v>
      </c>
      <c r="V692" s="306">
        <f t="shared" ca="1" si="293"/>
        <v>1.0426033927018024</v>
      </c>
      <c r="W692" s="304">
        <f t="shared" ca="1" si="294"/>
        <v>1254.402303471134</v>
      </c>
      <c r="Y692" s="314" t="str">
        <f t="shared" ca="1" si="312"/>
        <v/>
      </c>
      <c r="Z692" s="315" t="str">
        <f t="shared" ca="1" si="313"/>
        <v/>
      </c>
      <c r="AA692" s="316" t="str">
        <f t="shared" ca="1" si="314"/>
        <v/>
      </c>
      <c r="AC692" s="310" t="e">
        <f t="shared" ca="1" si="315"/>
        <v>#N/A</v>
      </c>
      <c r="AD692" s="323" t="e">
        <f t="shared" ca="1" si="316"/>
        <v>#N/A</v>
      </c>
      <c r="AE692" s="324">
        <f t="shared" ca="1" si="295"/>
        <v>1608.7170083201902</v>
      </c>
      <c r="AG692" s="306">
        <f t="shared" ca="1" si="317"/>
        <v>-19.341682125912406</v>
      </c>
      <c r="AH692" s="304">
        <f t="shared" ca="1" si="318"/>
        <v>-10.271408630472882</v>
      </c>
    </row>
    <row r="693" spans="1:34" x14ac:dyDescent="0.2">
      <c r="A693" s="347">
        <f t="shared" ca="1" si="296"/>
        <v>0.01</v>
      </c>
      <c r="B693" s="304">
        <f t="shared" ca="1" si="297"/>
        <v>6.8899999999998975</v>
      </c>
      <c r="D693" s="306">
        <f t="shared" ca="1" si="298"/>
        <v>-4.5002316408973657</v>
      </c>
      <c r="E693" s="307">
        <f t="shared" ca="1" si="299"/>
        <v>-20.72978535212512</v>
      </c>
      <c r="F693" s="304">
        <f t="shared" ca="1" si="300"/>
        <v>21.212639759514019</v>
      </c>
      <c r="G693" s="306">
        <f t="shared" ca="1" si="301"/>
        <v>173.0573407663434</v>
      </c>
      <c r="H693" s="307">
        <f t="shared" ca="1" si="302"/>
        <v>419.82450967286962</v>
      </c>
      <c r="I693" s="304">
        <f t="shared" ca="1" si="303"/>
        <v>454.09411151784792</v>
      </c>
      <c r="J693" s="306">
        <f t="shared" ca="1" si="304"/>
        <v>620.26201165327745</v>
      </c>
      <c r="K693" s="307">
        <f t="shared" ca="1" si="305"/>
        <v>1612.9162899061864</v>
      </c>
      <c r="L693" s="304">
        <f t="shared" ca="1" si="290"/>
        <v>1728.0694202910101</v>
      </c>
      <c r="M693" s="306">
        <f t="shared" ca="1" si="306"/>
        <v>1.1798055906250016</v>
      </c>
      <c r="N693" s="304">
        <f t="shared" ca="1" si="307"/>
        <v>67.597880988751953</v>
      </c>
      <c r="P693" s="310">
        <f t="shared" ca="1" si="308"/>
        <v>19</v>
      </c>
      <c r="Q693" s="304">
        <f t="shared" ca="1" si="309"/>
        <v>1074.6590327871409</v>
      </c>
      <c r="R693" s="306">
        <f t="shared" ca="1" si="310"/>
        <v>0.64627214813528511</v>
      </c>
      <c r="S693" s="307">
        <f t="shared" ca="1" si="311"/>
        <v>15.218617164038502</v>
      </c>
      <c r="T693" s="304">
        <f t="shared" ca="1" si="291"/>
        <v>149.29463437921771</v>
      </c>
      <c r="U693" s="311">
        <f t="shared" ca="1" si="292"/>
        <v>0</v>
      </c>
      <c r="V693" s="306">
        <f t="shared" ca="1" si="293"/>
        <v>1.0421628086989965</v>
      </c>
      <c r="W693" s="304">
        <f t="shared" ca="1" si="294"/>
        <v>1252.7198787630111</v>
      </c>
      <c r="Y693" s="314" t="str">
        <f t="shared" ca="1" si="312"/>
        <v/>
      </c>
      <c r="Z693" s="315" t="str">
        <f t="shared" ca="1" si="313"/>
        <v/>
      </c>
      <c r="AA693" s="316" t="str">
        <f t="shared" ca="1" si="314"/>
        <v/>
      </c>
      <c r="AC693" s="310" t="e">
        <f t="shared" ca="1" si="315"/>
        <v>#N/A</v>
      </c>
      <c r="AD693" s="323" t="e">
        <f t="shared" ca="1" si="316"/>
        <v>#N/A</v>
      </c>
      <c r="AE693" s="324">
        <f t="shared" ca="1" si="295"/>
        <v>1612.9162899061864</v>
      </c>
      <c r="AG693" s="306">
        <f t="shared" ca="1" si="317"/>
        <v>-20.880715255864992</v>
      </c>
      <c r="AH693" s="304">
        <f t="shared" ca="1" si="318"/>
        <v>-11.810749212400545</v>
      </c>
    </row>
    <row r="694" spans="1:34" x14ac:dyDescent="0.2">
      <c r="A694" s="347">
        <f t="shared" ca="1" si="296"/>
        <v>0.01</v>
      </c>
      <c r="B694" s="304">
        <f t="shared" ca="1" si="297"/>
        <v>6.8999999999998973</v>
      </c>
      <c r="D694" s="306">
        <f t="shared" ca="1" si="298"/>
        <v>-5.086146624366596</v>
      </c>
      <c r="E694" s="307">
        <f t="shared" ca="1" si="299"/>
        <v>-22.148621425958623</v>
      </c>
      <c r="F694" s="304">
        <f t="shared" ca="1" si="300"/>
        <v>22.725103268301975</v>
      </c>
      <c r="G694" s="306">
        <f t="shared" ca="1" si="301"/>
        <v>173.00647930009973</v>
      </c>
      <c r="H694" s="307">
        <f t="shared" ca="1" si="302"/>
        <v>419.60302345861004</v>
      </c>
      <c r="I694" s="304">
        <f t="shared" ca="1" si="303"/>
        <v>453.86995844120668</v>
      </c>
      <c r="J694" s="306">
        <f t="shared" ca="1" si="304"/>
        <v>621.99233075360962</v>
      </c>
      <c r="K694" s="307">
        <f t="shared" ca="1" si="305"/>
        <v>1617.1134275718439</v>
      </c>
      <c r="L694" s="304">
        <f t="shared" ca="1" si="290"/>
        <v>1732.6079467523705</v>
      </c>
      <c r="M694" s="306">
        <f t="shared" ca="1" si="306"/>
        <v>1.1797232182238548</v>
      </c>
      <c r="N694" s="304">
        <f t="shared" ca="1" si="307"/>
        <v>67.593161397817894</v>
      </c>
      <c r="P694" s="310">
        <f t="shared" ca="1" si="308"/>
        <v>19</v>
      </c>
      <c r="Q694" s="304">
        <f t="shared" ca="1" si="309"/>
        <v>1049.6994543328087</v>
      </c>
      <c r="R694" s="306">
        <f t="shared" ca="1" si="310"/>
        <v>0.63126210318884535</v>
      </c>
      <c r="S694" s="307">
        <f t="shared" ca="1" si="311"/>
        <v>15.212304543006613</v>
      </c>
      <c r="T694" s="304">
        <f t="shared" ca="1" si="291"/>
        <v>149.23270756689487</v>
      </c>
      <c r="U694" s="311">
        <f t="shared" ca="1" si="292"/>
        <v>0</v>
      </c>
      <c r="V694" s="306">
        <f t="shared" ca="1" si="293"/>
        <v>1.0417226206761854</v>
      </c>
      <c r="W694" s="304">
        <f t="shared" ca="1" si="294"/>
        <v>1250.9548307790292</v>
      </c>
      <c r="Y694" s="314" t="str">
        <f t="shared" ca="1" si="312"/>
        <v/>
      </c>
      <c r="Z694" s="315" t="str">
        <f t="shared" ca="1" si="313"/>
        <v/>
      </c>
      <c r="AA694" s="316" t="str">
        <f t="shared" ca="1" si="314"/>
        <v/>
      </c>
      <c r="AC694" s="310" t="e">
        <f t="shared" ca="1" si="315"/>
        <v>#N/A</v>
      </c>
      <c r="AD694" s="323" t="e">
        <f t="shared" ca="1" si="316"/>
        <v>#N/A</v>
      </c>
      <c r="AE694" s="324">
        <f t="shared" ca="1" si="295"/>
        <v>1617.1134275718439</v>
      </c>
      <c r="AG694" s="306">
        <f t="shared" ca="1" si="317"/>
        <v>-22.415461644328374</v>
      </c>
      <c r="AH694" s="304">
        <f t="shared" ca="1" si="318"/>
        <v>-13.345803317061172</v>
      </c>
    </row>
    <row r="695" spans="1:34" x14ac:dyDescent="0.2">
      <c r="A695" s="347">
        <f t="shared" ca="1" si="296"/>
        <v>0.01</v>
      </c>
      <c r="B695" s="304">
        <f t="shared" ca="1" si="297"/>
        <v>6.9099999999998971</v>
      </c>
      <c r="D695" s="306">
        <f t="shared" ca="1" si="298"/>
        <v>-5.6706546691048425</v>
      </c>
      <c r="E695" s="307">
        <f t="shared" ca="1" si="299"/>
        <v>-23.563379953005636</v>
      </c>
      <c r="F695" s="304">
        <f t="shared" ca="1" si="300"/>
        <v>24.23611353303059</v>
      </c>
      <c r="G695" s="306">
        <f t="shared" ca="1" si="301"/>
        <v>172.94977275340867</v>
      </c>
      <c r="H695" s="307">
        <f t="shared" ca="1" si="302"/>
        <v>419.36738965908</v>
      </c>
      <c r="I695" s="304">
        <f t="shared" ca="1" si="303"/>
        <v>453.6305009640846</v>
      </c>
      <c r="J695" s="306">
        <f t="shared" ca="1" si="304"/>
        <v>623.72211201387711</v>
      </c>
      <c r="K695" s="307">
        <f t="shared" ca="1" si="305"/>
        <v>1621.3082796374324</v>
      </c>
      <c r="L695" s="304">
        <f t="shared" ca="1" si="290"/>
        <v>1737.1441536717505</v>
      </c>
      <c r="M695" s="306">
        <f t="shared" ca="1" si="306"/>
        <v>1.1796407858720306</v>
      </c>
      <c r="N695" s="304">
        <f t="shared" ca="1" si="307"/>
        <v>67.588438371963022</v>
      </c>
      <c r="P695" s="310">
        <f t="shared" ca="1" si="308"/>
        <v>19</v>
      </c>
      <c r="Q695" s="304">
        <f t="shared" ca="1" si="309"/>
        <v>1024.7398758784766</v>
      </c>
      <c r="R695" s="306">
        <f t="shared" ca="1" si="310"/>
        <v>0.6162520582424057</v>
      </c>
      <c r="S695" s="307">
        <f t="shared" ca="1" si="311"/>
        <v>15.20614202242419</v>
      </c>
      <c r="T695" s="304">
        <f t="shared" ca="1" si="291"/>
        <v>149.1722532399813</v>
      </c>
      <c r="U695" s="311">
        <f t="shared" ca="1" si="292"/>
        <v>0</v>
      </c>
      <c r="V695" s="306">
        <f t="shared" ca="1" si="293"/>
        <v>1.0412828431222796</v>
      </c>
      <c r="W695" s="304">
        <f t="shared" ca="1" si="294"/>
        <v>1249.107644510503</v>
      </c>
      <c r="Y695" s="314" t="str">
        <f t="shared" ca="1" si="312"/>
        <v/>
      </c>
      <c r="Z695" s="315" t="str">
        <f t="shared" ca="1" si="313"/>
        <v/>
      </c>
      <c r="AA695" s="316" t="str">
        <f t="shared" ca="1" si="314"/>
        <v/>
      </c>
      <c r="AC695" s="310" t="e">
        <f t="shared" ca="1" si="315"/>
        <v>#N/A</v>
      </c>
      <c r="AD695" s="323" t="e">
        <f t="shared" ca="1" si="316"/>
        <v>#N/A</v>
      </c>
      <c r="AE695" s="324">
        <f t="shared" ca="1" si="295"/>
        <v>1621.3082796374324</v>
      </c>
      <c r="AG695" s="306">
        <f t="shared" ca="1" si="317"/>
        <v>-23.945901835275407</v>
      </c>
      <c r="AH695" s="304">
        <f t="shared" ca="1" si="318"/>
        <v>-14.876551499187498</v>
      </c>
    </row>
    <row r="696" spans="1:34" x14ac:dyDescent="0.2">
      <c r="A696" s="347">
        <f t="shared" ca="1" si="296"/>
        <v>0.01</v>
      </c>
      <c r="B696" s="304">
        <f t="shared" ca="1" si="297"/>
        <v>6.9199999999998969</v>
      </c>
      <c r="D696" s="306">
        <f t="shared" ca="1" si="298"/>
        <v>-6.2537479437971299</v>
      </c>
      <c r="E696" s="307">
        <f t="shared" ca="1" si="299"/>
        <v>-24.97404392456394</v>
      </c>
      <c r="F696" s="304">
        <f t="shared" ca="1" si="300"/>
        <v>25.745139993610366</v>
      </c>
      <c r="G696" s="306">
        <f t="shared" ca="1" si="301"/>
        <v>172.8872352739707</v>
      </c>
      <c r="H696" s="307">
        <f t="shared" ca="1" si="302"/>
        <v>419.11764921983439</v>
      </c>
      <c r="I696" s="304">
        <f t="shared" ca="1" si="303"/>
        <v>453.3757823354016</v>
      </c>
      <c r="J696" s="306">
        <f t="shared" ca="1" si="304"/>
        <v>625.45129705401405</v>
      </c>
      <c r="K696" s="307">
        <f t="shared" ca="1" si="305"/>
        <v>1625.5007048318271</v>
      </c>
      <c r="L696" s="304">
        <f t="shared" ca="1" si="290"/>
        <v>1741.6778882432066</v>
      </c>
      <c r="M696" s="306">
        <f t="shared" ca="1" si="306"/>
        <v>1.1795582907179825</v>
      </c>
      <c r="N696" s="304">
        <f t="shared" ca="1" si="307"/>
        <v>67.583711747805779</v>
      </c>
      <c r="P696" s="310">
        <f t="shared" ca="1" si="308"/>
        <v>19</v>
      </c>
      <c r="Q696" s="304">
        <f t="shared" ca="1" si="309"/>
        <v>999.78029742414458</v>
      </c>
      <c r="R696" s="306">
        <f t="shared" ca="1" si="310"/>
        <v>0.60124201329596605</v>
      </c>
      <c r="S696" s="307">
        <f t="shared" ca="1" si="311"/>
        <v>15.200129602291231</v>
      </c>
      <c r="T696" s="304">
        <f t="shared" ca="1" si="291"/>
        <v>149.11327139847697</v>
      </c>
      <c r="U696" s="311">
        <f t="shared" ca="1" si="292"/>
        <v>0</v>
      </c>
      <c r="V696" s="306">
        <f t="shared" ca="1" si="293"/>
        <v>1.0408434904608632</v>
      </c>
      <c r="W696" s="304">
        <f t="shared" ca="1" si="294"/>
        <v>1247.1788130596146</v>
      </c>
      <c r="Y696" s="314" t="str">
        <f t="shared" ca="1" si="312"/>
        <v/>
      </c>
      <c r="Z696" s="315" t="str">
        <f t="shared" ca="1" si="313"/>
        <v/>
      </c>
      <c r="AA696" s="316" t="str">
        <f t="shared" ca="1" si="314"/>
        <v/>
      </c>
      <c r="AC696" s="310" t="e">
        <f t="shared" ca="1" si="315"/>
        <v>#N/A</v>
      </c>
      <c r="AD696" s="323" t="e">
        <f t="shared" ca="1" si="316"/>
        <v>#N/A</v>
      </c>
      <c r="AE696" s="324">
        <f t="shared" ca="1" si="295"/>
        <v>1625.5007048318271</v>
      </c>
      <c r="AG696" s="306">
        <f t="shared" ca="1" si="317"/>
        <v>-25.472017139621823</v>
      </c>
      <c r="AH696" s="304">
        <f t="shared" ca="1" si="318"/>
        <v>-16.402975080474011</v>
      </c>
    </row>
    <row r="697" spans="1:34" x14ac:dyDescent="0.2">
      <c r="A697" s="347">
        <f t="shared" ca="1" si="296"/>
        <v>0.01</v>
      </c>
      <c r="B697" s="304">
        <f t="shared" ca="1" si="297"/>
        <v>6.9299999999998967</v>
      </c>
      <c r="D697" s="306">
        <f t="shared" ca="1" si="298"/>
        <v>-6.8354189160698482</v>
      </c>
      <c r="E697" s="307">
        <f t="shared" ca="1" si="299"/>
        <v>-26.380597031042377</v>
      </c>
      <c r="F697" s="304">
        <f t="shared" ca="1" si="300"/>
        <v>27.251767859579449</v>
      </c>
      <c r="G697" s="306">
        <f t="shared" ca="1" si="301"/>
        <v>172.81888108481002</v>
      </c>
      <c r="H697" s="307">
        <f t="shared" ca="1" si="302"/>
        <v>418.85384324952395</v>
      </c>
      <c r="I697" s="304">
        <f t="shared" ca="1" si="303"/>
        <v>453.10584598336675</v>
      </c>
      <c r="J697" s="306">
        <f t="shared" ca="1" si="304"/>
        <v>627.1798276358079</v>
      </c>
      <c r="K697" s="307">
        <f t="shared" ca="1" si="305"/>
        <v>1629.6905622941738</v>
      </c>
      <c r="L697" s="304">
        <f t="shared" ca="1" si="290"/>
        <v>1746.2089980938656</v>
      </c>
      <c r="M697" s="306">
        <f t="shared" ca="1" si="306"/>
        <v>1.1794757299063527</v>
      </c>
      <c r="N697" s="304">
        <f t="shared" ca="1" si="307"/>
        <v>67.57898136174623</v>
      </c>
      <c r="P697" s="310">
        <f t="shared" ca="1" si="308"/>
        <v>19</v>
      </c>
      <c r="Q697" s="304">
        <f t="shared" ca="1" si="309"/>
        <v>974.82071896981256</v>
      </c>
      <c r="R697" s="306">
        <f t="shared" ca="1" si="310"/>
        <v>0.5862319683495264</v>
      </c>
      <c r="S697" s="307">
        <f t="shared" ca="1" si="311"/>
        <v>15.194267282607736</v>
      </c>
      <c r="T697" s="304">
        <f t="shared" ca="1" si="291"/>
        <v>149.0557620423819</v>
      </c>
      <c r="U697" s="311">
        <f t="shared" ca="1" si="292"/>
        <v>0</v>
      </c>
      <c r="V697" s="306">
        <f t="shared" ca="1" si="293"/>
        <v>1.0404045770501662</v>
      </c>
      <c r="W697" s="304">
        <f t="shared" ca="1" si="294"/>
        <v>1245.1688374858902</v>
      </c>
      <c r="Y697" s="314" t="str">
        <f t="shared" ca="1" si="312"/>
        <v/>
      </c>
      <c r="Z697" s="315" t="str">
        <f t="shared" ca="1" si="313"/>
        <v/>
      </c>
      <c r="AA697" s="316" t="str">
        <f t="shared" ca="1" si="314"/>
        <v/>
      </c>
      <c r="AC697" s="310" t="e">
        <f t="shared" ca="1" si="315"/>
        <v>#N/A</v>
      </c>
      <c r="AD697" s="323" t="e">
        <f t="shared" ca="1" si="316"/>
        <v>#N/A</v>
      </c>
      <c r="AE697" s="324">
        <f t="shared" ca="1" si="295"/>
        <v>1629.6905622941738</v>
      </c>
      <c r="AG697" s="306">
        <f t="shared" ca="1" si="317"/>
        <v>-26.993789628470232</v>
      </c>
      <c r="AH697" s="304">
        <f t="shared" ca="1" si="318"/>
        <v>-17.925056142822982</v>
      </c>
    </row>
    <row r="698" spans="1:34" x14ac:dyDescent="0.2">
      <c r="A698" s="347">
        <f t="shared" ca="1" si="296"/>
        <v>0.01</v>
      </c>
      <c r="B698" s="304">
        <f t="shared" ca="1" si="297"/>
        <v>6.9399999999998965</v>
      </c>
      <c r="D698" s="306">
        <f t="shared" ca="1" si="298"/>
        <v>-7.4156603500806453</v>
      </c>
      <c r="E698" s="307">
        <f t="shared" ca="1" si="299"/>
        <v>-27.783023655558189</v>
      </c>
      <c r="F698" s="304">
        <f t="shared" ca="1" si="300"/>
        <v>28.755667647840561</v>
      </c>
      <c r="G698" s="306">
        <f t="shared" ca="1" si="301"/>
        <v>172.74472448130922</v>
      </c>
      <c r="H698" s="307">
        <f t="shared" ca="1" si="302"/>
        <v>418.57601301296836</v>
      </c>
      <c r="I698" s="304">
        <f t="shared" ca="1" si="303"/>
        <v>452.82073550794479</v>
      </c>
      <c r="J698" s="306">
        <f t="shared" ca="1" si="304"/>
        <v>628.9076456636385</v>
      </c>
      <c r="K698" s="307">
        <f t="shared" ca="1" si="305"/>
        <v>1633.8777115754863</v>
      </c>
      <c r="L698" s="304">
        <f t="shared" ca="1" si="290"/>
        <v>1750.7373312856869</v>
      </c>
      <c r="M698" s="306">
        <f t="shared" ca="1" si="306"/>
        <v>1.1793931005774438</v>
      </c>
      <c r="N698" s="304">
        <f t="shared" ca="1" si="307"/>
        <v>67.574247049935749</v>
      </c>
      <c r="P698" s="310">
        <f t="shared" ca="1" si="308"/>
        <v>19</v>
      </c>
      <c r="Q698" s="304">
        <f t="shared" ca="1" si="309"/>
        <v>949.86114051548054</v>
      </c>
      <c r="R698" s="306">
        <f t="shared" ca="1" si="310"/>
        <v>0.57122192340308675</v>
      </c>
      <c r="S698" s="307">
        <f t="shared" ca="1" si="311"/>
        <v>15.188555063373705</v>
      </c>
      <c r="T698" s="304">
        <f t="shared" ca="1" si="291"/>
        <v>148.99972517169607</v>
      </c>
      <c r="U698" s="311">
        <f t="shared" ca="1" si="292"/>
        <v>0</v>
      </c>
      <c r="V698" s="306">
        <f t="shared" ca="1" si="293"/>
        <v>1.0399661171830474</v>
      </c>
      <c r="W698" s="304">
        <f t="shared" ca="1" si="294"/>
        <v>1243.0782266534789</v>
      </c>
      <c r="Y698" s="314" t="str">
        <f t="shared" ca="1" si="312"/>
        <v/>
      </c>
      <c r="Z698" s="315" t="str">
        <f t="shared" ca="1" si="313"/>
        <v/>
      </c>
      <c r="AA698" s="316" t="str">
        <f t="shared" ca="1" si="314"/>
        <v/>
      </c>
      <c r="AC698" s="310" t="e">
        <f t="shared" ca="1" si="315"/>
        <v>#N/A</v>
      </c>
      <c r="AD698" s="323" t="e">
        <f t="shared" ca="1" si="316"/>
        <v>#N/A</v>
      </c>
      <c r="AE698" s="324">
        <f t="shared" ca="1" si="295"/>
        <v>1633.8777115754863</v>
      </c>
      <c r="AG698" s="306">
        <f t="shared" ca="1" si="317"/>
        <v>-28.511202126275698</v>
      </c>
      <c r="AH698" s="304">
        <f t="shared" ca="1" si="318"/>
        <v>-19.442777521512006</v>
      </c>
    </row>
    <row r="699" spans="1:34" x14ac:dyDescent="0.2">
      <c r="A699" s="347">
        <f t="shared" ca="1" si="296"/>
        <v>0.01</v>
      </c>
      <c r="B699" s="304">
        <f t="shared" ca="1" si="297"/>
        <v>6.9499999999998963</v>
      </c>
      <c r="D699" s="306">
        <f t="shared" ca="1" si="298"/>
        <v>-7.9944653040805829</v>
      </c>
      <c r="E699" s="307">
        <f t="shared" ca="1" si="299"/>
        <v>-29.181308867464857</v>
      </c>
      <c r="F699" s="304">
        <f t="shared" ca="1" si="300"/>
        <v>30.256573876044381</v>
      </c>
      <c r="G699" s="306">
        <f t="shared" ca="1" si="301"/>
        <v>172.66477982826842</v>
      </c>
      <c r="H699" s="307">
        <f t="shared" ca="1" si="302"/>
        <v>418.28419992429372</v>
      </c>
      <c r="I699" s="304">
        <f t="shared" ca="1" si="303"/>
        <v>452.52049467339151</v>
      </c>
      <c r="J699" s="306">
        <f t="shared" ca="1" si="304"/>
        <v>630.63469318518639</v>
      </c>
      <c r="K699" s="307">
        <f t="shared" ca="1" si="305"/>
        <v>1638.0620126401725</v>
      </c>
      <c r="L699" s="304">
        <f t="shared" ca="1" si="290"/>
        <v>1755.2627363171439</v>
      </c>
      <c r="M699" s="306">
        <f t="shared" ca="1" si="306"/>
        <v>1.1793103998666863</v>
      </c>
      <c r="N699" s="304">
        <f t="shared" ca="1" si="307"/>
        <v>67.569508648246611</v>
      </c>
      <c r="P699" s="310">
        <f t="shared" ca="1" si="308"/>
        <v>19</v>
      </c>
      <c r="Q699" s="304">
        <f t="shared" ca="1" si="309"/>
        <v>924.90156206114852</v>
      </c>
      <c r="R699" s="306">
        <f t="shared" ca="1" si="310"/>
        <v>0.5562118784566471</v>
      </c>
      <c r="S699" s="307">
        <f t="shared" ca="1" si="311"/>
        <v>15.18299294458914</v>
      </c>
      <c r="T699" s="304">
        <f t="shared" ca="1" si="291"/>
        <v>148.94516078641948</v>
      </c>
      <c r="U699" s="311">
        <f t="shared" ca="1" si="292"/>
        <v>0</v>
      </c>
      <c r="V699" s="306">
        <f t="shared" ca="1" si="293"/>
        <v>1.0395281250869868</v>
      </c>
      <c r="W699" s="304">
        <f t="shared" ca="1" si="294"/>
        <v>1240.9074970792813</v>
      </c>
      <c r="Y699" s="314" t="str">
        <f t="shared" ca="1" si="312"/>
        <v/>
      </c>
      <c r="Z699" s="315" t="str">
        <f t="shared" ca="1" si="313"/>
        <v/>
      </c>
      <c r="AA699" s="316" t="str">
        <f t="shared" ca="1" si="314"/>
        <v/>
      </c>
      <c r="AC699" s="310" t="e">
        <f t="shared" ca="1" si="315"/>
        <v>#N/A</v>
      </c>
      <c r="AD699" s="323" t="e">
        <f t="shared" ca="1" si="316"/>
        <v>#N/A</v>
      </c>
      <c r="AE699" s="324">
        <f t="shared" ca="1" si="295"/>
        <v>1638.0620126401725</v>
      </c>
      <c r="AG699" s="306">
        <f t="shared" ca="1" si="317"/>
        <v>-30.024238203936378</v>
      </c>
      <c r="AH699" s="304">
        <f t="shared" ca="1" si="318"/>
        <v>-20.956122798286682</v>
      </c>
    </row>
    <row r="700" spans="1:34" x14ac:dyDescent="0.2">
      <c r="A700" s="347">
        <f t="shared" ca="1" si="296"/>
        <v>0.01</v>
      </c>
      <c r="B700" s="304">
        <f t="shared" ca="1" si="297"/>
        <v>6.959999999999896</v>
      </c>
      <c r="D700" s="306">
        <f t="shared" ca="1" si="298"/>
        <v>-8.5718271279502485</v>
      </c>
      <c r="E700" s="307">
        <f t="shared" ca="1" si="299"/>
        <v>-30.575438415814197</v>
      </c>
      <c r="F700" s="304">
        <f t="shared" ca="1" si="300"/>
        <v>31.754269864550665</v>
      </c>
      <c r="G700" s="306">
        <f t="shared" ca="1" si="301"/>
        <v>172.57906155698893</v>
      </c>
      <c r="H700" s="307">
        <f t="shared" ca="1" si="302"/>
        <v>417.97844554013557</v>
      </c>
      <c r="I700" s="304">
        <f t="shared" ca="1" si="303"/>
        <v>452.20516740085918</v>
      </c>
      <c r="J700" s="306">
        <f t="shared" ca="1" si="304"/>
        <v>632.36091239211271</v>
      </c>
      <c r="K700" s="307">
        <f t="shared" ca="1" si="305"/>
        <v>1642.2433258674946</v>
      </c>
      <c r="L700" s="304">
        <f t="shared" ca="1" si="290"/>
        <v>1759.7850621248367</v>
      </c>
      <c r="M700" s="306">
        <f t="shared" ca="1" si="306"/>
        <v>1.1792276249041069</v>
      </c>
      <c r="N700" s="304">
        <f t="shared" ca="1" si="307"/>
        <v>67.564765992241462</v>
      </c>
      <c r="P700" s="310">
        <f t="shared" ca="1" si="308"/>
        <v>19</v>
      </c>
      <c r="Q700" s="304">
        <f t="shared" ca="1" si="309"/>
        <v>899.94198360681651</v>
      </c>
      <c r="R700" s="306">
        <f t="shared" ca="1" si="310"/>
        <v>0.54120183351020745</v>
      </c>
      <c r="S700" s="307">
        <f t="shared" ca="1" si="311"/>
        <v>15.177580926254038</v>
      </c>
      <c r="T700" s="304">
        <f t="shared" ca="1" si="291"/>
        <v>148.89206888655212</v>
      </c>
      <c r="U700" s="311">
        <f t="shared" ca="1" si="292"/>
        <v>0</v>
      </c>
      <c r="V700" s="306">
        <f t="shared" ca="1" si="293"/>
        <v>1.0390906149240846</v>
      </c>
      <c r="W700" s="304">
        <f t="shared" ca="1" si="294"/>
        <v>1238.6571727819505</v>
      </c>
      <c r="Y700" s="314" t="str">
        <f t="shared" ca="1" si="312"/>
        <v/>
      </c>
      <c r="Z700" s="315" t="str">
        <f t="shared" ca="1" si="313"/>
        <v/>
      </c>
      <c r="AA700" s="316" t="str">
        <f t="shared" ca="1" si="314"/>
        <v/>
      </c>
      <c r="AC700" s="310" t="e">
        <f t="shared" ca="1" si="315"/>
        <v>#N/A</v>
      </c>
      <c r="AD700" s="323" t="e">
        <f t="shared" ca="1" si="316"/>
        <v>#N/A</v>
      </c>
      <c r="AE700" s="324">
        <f t="shared" ca="1" si="295"/>
        <v>1642.2433258674946</v>
      </c>
      <c r="AG700" s="306">
        <f t="shared" ca="1" si="317"/>
        <v>-31.532882171813618</v>
      </c>
      <c r="AH700" s="304">
        <f t="shared" ca="1" si="318"/>
        <v>-22.465076294382708</v>
      </c>
    </row>
    <row r="701" spans="1:34" x14ac:dyDescent="0.2">
      <c r="A701" s="347">
        <f t="shared" ca="1" si="296"/>
        <v>0.01</v>
      </c>
      <c r="B701" s="304">
        <f t="shared" ca="1" si="297"/>
        <v>6.9699999999998958</v>
      </c>
      <c r="D701" s="306">
        <f t="shared" ca="1" si="298"/>
        <v>-9.1477394607107954</v>
      </c>
      <c r="E701" s="307">
        <f t="shared" ca="1" si="299"/>
        <v>-31.965398722755502</v>
      </c>
      <c r="F701" s="304">
        <f t="shared" ca="1" si="300"/>
        <v>33.248576702556527</v>
      </c>
      <c r="G701" s="306">
        <f t="shared" ca="1" si="301"/>
        <v>172.48758416238184</v>
      </c>
      <c r="H701" s="307">
        <f t="shared" ca="1" si="302"/>
        <v>417.65879155290799</v>
      </c>
      <c r="I701" s="304">
        <f t="shared" ca="1" si="303"/>
        <v>451.87479776107256</v>
      </c>
      <c r="J701" s="306">
        <f t="shared" ca="1" si="304"/>
        <v>634.08624562070952</v>
      </c>
      <c r="K701" s="307">
        <f t="shared" ca="1" si="305"/>
        <v>1646.4215120529598</v>
      </c>
      <c r="L701" s="304">
        <f t="shared" ca="1" si="290"/>
        <v>1764.3041580850283</v>
      </c>
      <c r="M701" s="306">
        <f t="shared" ca="1" si="306"/>
        <v>1.1791447728137934</v>
      </c>
      <c r="N701" s="304">
        <f t="shared" ca="1" si="307"/>
        <v>67.560018917142656</v>
      </c>
      <c r="P701" s="310">
        <f t="shared" ca="1" si="308"/>
        <v>19</v>
      </c>
      <c r="Q701" s="304">
        <f t="shared" ca="1" si="309"/>
        <v>874.98240515248438</v>
      </c>
      <c r="R701" s="306">
        <f t="shared" ca="1" si="310"/>
        <v>0.5261917885637678</v>
      </c>
      <c r="S701" s="307">
        <f t="shared" ca="1" si="311"/>
        <v>15.172319008368401</v>
      </c>
      <c r="T701" s="304">
        <f t="shared" ca="1" si="291"/>
        <v>148.84044947209401</v>
      </c>
      <c r="U701" s="311">
        <f t="shared" ca="1" si="292"/>
        <v>0</v>
      </c>
      <c r="V701" s="306">
        <f t="shared" ca="1" si="293"/>
        <v>1.0386536007910721</v>
      </c>
      <c r="W701" s="304">
        <f t="shared" ca="1" si="294"/>
        <v>1236.3277851318085</v>
      </c>
      <c r="Y701" s="314" t="str">
        <f t="shared" ca="1" si="312"/>
        <v/>
      </c>
      <c r="Z701" s="315" t="str">
        <f t="shared" ca="1" si="313"/>
        <v/>
      </c>
      <c r="AA701" s="316" t="str">
        <f t="shared" ca="1" si="314"/>
        <v/>
      </c>
      <c r="AC701" s="310" t="e">
        <f t="shared" ca="1" si="315"/>
        <v>#N/A</v>
      </c>
      <c r="AD701" s="323" t="e">
        <f t="shared" ca="1" si="316"/>
        <v>#N/A</v>
      </c>
      <c r="AE701" s="324">
        <f t="shared" ca="1" si="295"/>
        <v>1646.4215120529598</v>
      </c>
      <c r="AG701" s="306">
        <f t="shared" ca="1" si="317"/>
        <v>-33.03711907268422</v>
      </c>
      <c r="AH701" s="304">
        <f t="shared" ca="1" si="318"/>
        <v>-23.969623063480192</v>
      </c>
    </row>
    <row r="702" spans="1:34" x14ac:dyDescent="0.2">
      <c r="A702" s="347">
        <f t="shared" ca="1" si="296"/>
        <v>0.01</v>
      </c>
      <c r="B702" s="304">
        <f t="shared" ca="1" si="297"/>
        <v>6.9799999999998956</v>
      </c>
      <c r="D702" s="306">
        <f t="shared" ca="1" si="298"/>
        <v>-9.7221962280115513</v>
      </c>
      <c r="E702" s="307">
        <f t="shared" ca="1" si="299"/>
        <v>-33.3511768768753</v>
      </c>
      <c r="F702" s="304">
        <f t="shared" ca="1" si="300"/>
        <v>34.739345108516133</v>
      </c>
      <c r="G702" s="306">
        <f t="shared" ca="1" si="301"/>
        <v>172.39036220010172</v>
      </c>
      <c r="H702" s="307">
        <f t="shared" ca="1" si="302"/>
        <v>417.32527978413924</v>
      </c>
      <c r="I702" s="304">
        <f t="shared" ca="1" si="303"/>
        <v>451.52942996707577</v>
      </c>
      <c r="J702" s="306">
        <f t="shared" ca="1" si="304"/>
        <v>635.8106353525219</v>
      </c>
      <c r="K702" s="307">
        <f t="shared" ca="1" si="305"/>
        <v>1650.5964324096451</v>
      </c>
      <c r="L702" s="304">
        <f t="shared" ca="1" si="290"/>
        <v>1768.819874015109</v>
      </c>
      <c r="M702" s="306">
        <f t="shared" ca="1" si="306"/>
        <v>1.1790618407133566</v>
      </c>
      <c r="N702" s="304">
        <f t="shared" ca="1" si="307"/>
        <v>67.555267257801475</v>
      </c>
      <c r="P702" s="310">
        <f t="shared" ca="1" si="308"/>
        <v>19</v>
      </c>
      <c r="Q702" s="304">
        <f t="shared" ca="1" si="309"/>
        <v>850.02282669815236</v>
      </c>
      <c r="R702" s="306">
        <f t="shared" ca="1" si="310"/>
        <v>0.51118174361732815</v>
      </c>
      <c r="S702" s="307">
        <f t="shared" ca="1" si="311"/>
        <v>15.167207190932228</v>
      </c>
      <c r="T702" s="304">
        <f t="shared" ca="1" si="291"/>
        <v>148.79030254304516</v>
      </c>
      <c r="U702" s="311">
        <f t="shared" ca="1" si="292"/>
        <v>0</v>
      </c>
      <c r="V702" s="306">
        <f t="shared" ca="1" si="293"/>
        <v>1.038217096719328</v>
      </c>
      <c r="W702" s="304">
        <f t="shared" ca="1" si="294"/>
        <v>1233.9198727017085</v>
      </c>
      <c r="Y702" s="314" t="str">
        <f t="shared" ca="1" si="312"/>
        <v/>
      </c>
      <c r="Z702" s="315" t="str">
        <f t="shared" ca="1" si="313"/>
        <v/>
      </c>
      <c r="AA702" s="316" t="str">
        <f t="shared" ca="1" si="314"/>
        <v/>
      </c>
      <c r="AC702" s="310" t="e">
        <f t="shared" ca="1" si="315"/>
        <v>#N/A</v>
      </c>
      <c r="AD702" s="323" t="e">
        <f t="shared" ca="1" si="316"/>
        <v>#N/A</v>
      </c>
      <c r="AE702" s="324">
        <f t="shared" ca="1" si="295"/>
        <v>1650.5964324096451</v>
      </c>
      <c r="AG702" s="306">
        <f t="shared" ca="1" si="317"/>
        <v>-34.536934674629016</v>
      </c>
      <c r="AH702" s="304">
        <f t="shared" ca="1" si="318"/>
        <v>-25.469748884594257</v>
      </c>
    </row>
    <row r="703" spans="1:34" x14ac:dyDescent="0.2">
      <c r="A703" s="347">
        <f t="shared" ca="1" si="296"/>
        <v>0.01</v>
      </c>
      <c r="B703" s="304">
        <f t="shared" ca="1" si="297"/>
        <v>6.9899999999998954</v>
      </c>
      <c r="D703" s="306">
        <f t="shared" ca="1" si="298"/>
        <v>-10.295191639595481</v>
      </c>
      <c r="E703" s="307">
        <f t="shared" ca="1" si="299"/>
        <v>-34.732760626481124</v>
      </c>
      <c r="F703" s="304">
        <f t="shared" ca="1" si="300"/>
        <v>36.226449337913785</v>
      </c>
      <c r="G703" s="306">
        <f t="shared" ca="1" si="301"/>
        <v>172.28741028370575</v>
      </c>
      <c r="H703" s="307">
        <f t="shared" ca="1" si="302"/>
        <v>416.97795217787444</v>
      </c>
      <c r="I703" s="304">
        <f t="shared" ca="1" si="303"/>
        <v>451.16910836705085</v>
      </c>
      <c r="J703" s="306">
        <f t="shared" ca="1" si="304"/>
        <v>637.53402421494093</v>
      </c>
      <c r="K703" s="307">
        <f t="shared" ca="1" si="305"/>
        <v>1654.7679485694553</v>
      </c>
      <c r="L703" s="304">
        <f t="shared" ca="1" si="290"/>
        <v>1773.3320601749861</v>
      </c>
      <c r="M703" s="306">
        <f t="shared" ca="1" si="306"/>
        <v>1.1789788257133922</v>
      </c>
      <c r="N703" s="304">
        <f t="shared" ca="1" si="307"/>
        <v>67.55051084866723</v>
      </c>
      <c r="P703" s="310">
        <f t="shared" ca="1" si="308"/>
        <v>19</v>
      </c>
      <c r="Q703" s="304">
        <f t="shared" ca="1" si="309"/>
        <v>825.06324824382034</v>
      </c>
      <c r="R703" s="306">
        <f t="shared" ca="1" si="310"/>
        <v>0.49617169867088851</v>
      </c>
      <c r="S703" s="307">
        <f t="shared" ca="1" si="311"/>
        <v>15.16224547394552</v>
      </c>
      <c r="T703" s="304">
        <f t="shared" ca="1" si="291"/>
        <v>148.74162809940555</v>
      </c>
      <c r="U703" s="311">
        <f t="shared" ca="1" si="292"/>
        <v>0</v>
      </c>
      <c r="V703" s="306">
        <f t="shared" ca="1" si="293"/>
        <v>1.0377811166749082</v>
      </c>
      <c r="W703" s="304">
        <f t="shared" ca="1" si="294"/>
        <v>1231.4339811188761</v>
      </c>
      <c r="Y703" s="314" t="str">
        <f t="shared" ca="1" si="312"/>
        <v/>
      </c>
      <c r="Z703" s="315" t="str">
        <f t="shared" ca="1" si="313"/>
        <v/>
      </c>
      <c r="AA703" s="316" t="str">
        <f t="shared" ca="1" si="314"/>
        <v/>
      </c>
      <c r="AC703" s="310" t="e">
        <f t="shared" ca="1" si="315"/>
        <v>#N/A</v>
      </c>
      <c r="AD703" s="323" t="e">
        <f t="shared" ca="1" si="316"/>
        <v>#N/A</v>
      </c>
      <c r="AE703" s="324">
        <f t="shared" ca="1" si="295"/>
        <v>1654.7679485694553</v>
      </c>
      <c r="AG703" s="306">
        <f t="shared" ca="1" si="317"/>
        <v>-36.032315463861195</v>
      </c>
      <c r="AH703" s="304">
        <f t="shared" ca="1" si="318"/>
        <v>-26.965440254905431</v>
      </c>
    </row>
    <row r="704" spans="1:34" x14ac:dyDescent="0.2">
      <c r="A704" s="347">
        <f t="shared" ca="1" si="296"/>
        <v>0.01</v>
      </c>
      <c r="B704" s="304">
        <f t="shared" ca="1" si="297"/>
        <v>6.9999999999998952</v>
      </c>
      <c r="D704" s="306">
        <f t="shared" ca="1" si="298"/>
        <v>-10.866720186743715</v>
      </c>
      <c r="E704" s="307">
        <f t="shared" ca="1" si="299"/>
        <v>-36.110138372832132</v>
      </c>
      <c r="F704" s="304">
        <f t="shared" ca="1" si="300"/>
        <v>37.709782562646353</v>
      </c>
      <c r="G704" s="306">
        <f t="shared" ca="1" si="301"/>
        <v>172.17874308183832</v>
      </c>
      <c r="H704" s="307">
        <f t="shared" ca="1" si="302"/>
        <v>416.6168507941461</v>
      </c>
      <c r="I704" s="304">
        <f t="shared" ca="1" si="303"/>
        <v>450.79387743720906</v>
      </c>
      <c r="J704" s="306">
        <f t="shared" ca="1" si="304"/>
        <v>639.2563549817686</v>
      </c>
      <c r="K704" s="307">
        <f t="shared" ca="1" si="305"/>
        <v>1658.9359225843154</v>
      </c>
      <c r="L704" s="304">
        <f t="shared" ca="1" si="290"/>
        <v>1777.8405672684069</v>
      </c>
      <c r="M704" s="306">
        <f t="shared" ca="1" si="306"/>
        <v>1.1788957249169363</v>
      </c>
      <c r="N704" s="304">
        <f t="shared" ca="1" si="307"/>
        <v>67.545749523756129</v>
      </c>
      <c r="P704" s="310">
        <f t="shared" ca="1" si="308"/>
        <v>19</v>
      </c>
      <c r="Q704" s="304">
        <f t="shared" ca="1" si="309"/>
        <v>800.10366978948832</v>
      </c>
      <c r="R704" s="306">
        <f t="shared" ca="1" si="310"/>
        <v>0.48116165372444886</v>
      </c>
      <c r="S704" s="307">
        <f t="shared" ca="1" si="311"/>
        <v>15.157433857408275</v>
      </c>
      <c r="T704" s="304">
        <f t="shared" ca="1" si="291"/>
        <v>148.6944261411752</v>
      </c>
      <c r="U704" s="311">
        <f t="shared" ca="1" si="292"/>
        <v>0</v>
      </c>
      <c r="V704" s="306">
        <f t="shared" ca="1" si="293"/>
        <v>1.0373456745585767</v>
      </c>
      <c r="W704" s="304">
        <f t="shared" ca="1" si="294"/>
        <v>1228.8706629177575</v>
      </c>
      <c r="Y704" s="314" t="str">
        <f t="shared" ca="1" si="312"/>
        <v/>
      </c>
      <c r="Z704" s="315" t="str">
        <f t="shared" ca="1" si="313"/>
        <v/>
      </c>
      <c r="AA704" s="316" t="str">
        <f t="shared" ca="1" si="314"/>
        <v/>
      </c>
      <c r="AC704" s="310">
        <f t="shared" ca="1" si="315"/>
        <v>6.9999999999998952</v>
      </c>
      <c r="AD704" s="323">
        <f t="shared" ca="1" si="316"/>
        <v>639.2563549817686</v>
      </c>
      <c r="AE704" s="324">
        <f t="shared" ca="1" si="295"/>
        <v>1658.9359225843154</v>
      </c>
      <c r="AG704" s="306">
        <f t="shared" ca="1" si="317"/>
        <v>-37.523248637497645</v>
      </c>
      <c r="AH704" s="304">
        <f t="shared" ca="1" si="318"/>
        <v>-28.456684382533052</v>
      </c>
    </row>
    <row r="705" spans="1:34" x14ac:dyDescent="0.2">
      <c r="A705" s="347">
        <f t="shared" ca="1" si="296"/>
        <v>0.01</v>
      </c>
      <c r="B705" s="304">
        <f t="shared" ca="1" si="297"/>
        <v>7.009999999999895</v>
      </c>
      <c r="D705" s="306">
        <f t="shared" ca="1" si="298"/>
        <v>-11.436776639700597</v>
      </c>
      <c r="E705" s="307">
        <f t="shared" ca="1" si="299"/>
        <v>-37.48329916331997</v>
      </c>
      <c r="F705" s="304">
        <f t="shared" ca="1" si="300"/>
        <v>39.189253323753753</v>
      </c>
      <c r="G705" s="306">
        <f t="shared" ca="1" si="301"/>
        <v>172.06437531544131</v>
      </c>
      <c r="H705" s="307">
        <f t="shared" ca="1" si="302"/>
        <v>416.24201780251292</v>
      </c>
      <c r="I705" s="304">
        <f t="shared" ca="1" si="303"/>
        <v>450.40378177475435</v>
      </c>
      <c r="J705" s="306">
        <f t="shared" ca="1" si="304"/>
        <v>640.97757057375497</v>
      </c>
      <c r="K705" s="307">
        <f t="shared" ca="1" si="305"/>
        <v>1663.1002169272988</v>
      </c>
      <c r="L705" s="304">
        <f t="shared" ca="1" si="290"/>
        <v>1782.3452464442071</v>
      </c>
      <c r="M705" s="306">
        <f t="shared" ca="1" si="306"/>
        <v>1.1788125354189201</v>
      </c>
      <c r="N705" s="304">
        <f t="shared" ca="1" si="307"/>
        <v>67.540983116619984</v>
      </c>
      <c r="P705" s="310">
        <f t="shared" ca="1" si="308"/>
        <v>19</v>
      </c>
      <c r="Q705" s="304">
        <f t="shared" ca="1" si="309"/>
        <v>775.1440913351563</v>
      </c>
      <c r="R705" s="306">
        <f t="shared" ca="1" si="310"/>
        <v>0.46615160877800926</v>
      </c>
      <c r="S705" s="307">
        <f t="shared" ca="1" si="311"/>
        <v>15.152772341320496</v>
      </c>
      <c r="T705" s="304">
        <f t="shared" ca="1" si="291"/>
        <v>148.64869666835406</v>
      </c>
      <c r="U705" s="311">
        <f t="shared" ca="1" si="292"/>
        <v>0</v>
      </c>
      <c r="V705" s="306">
        <f t="shared" ca="1" si="293"/>
        <v>1.0369107842058527</v>
      </c>
      <c r="W705" s="304">
        <f t="shared" ca="1" si="294"/>
        <v>1226.2304773939115</v>
      </c>
      <c r="Y705" s="314" t="str">
        <f t="shared" ca="1" si="312"/>
        <v/>
      </c>
      <c r="Z705" s="315" t="str">
        <f t="shared" ca="1" si="313"/>
        <v/>
      </c>
      <c r="AA705" s="316" t="str">
        <f t="shared" ca="1" si="314"/>
        <v/>
      </c>
      <c r="AC705" s="310" t="e">
        <f t="shared" ca="1" si="315"/>
        <v>#N/A</v>
      </c>
      <c r="AD705" s="323" t="e">
        <f t="shared" ca="1" si="316"/>
        <v>#N/A</v>
      </c>
      <c r="AE705" s="324">
        <f t="shared" ca="1" si="295"/>
        <v>1663.1002169272988</v>
      </c>
      <c r="AG705" s="306">
        <f t="shared" ca="1" si="317"/>
        <v>-39.009722096276818</v>
      </c>
      <c r="AH705" s="304">
        <f t="shared" ca="1" si="318"/>
        <v>-29.943469179255217</v>
      </c>
    </row>
    <row r="706" spans="1:34" x14ac:dyDescent="0.2">
      <c r="A706" s="347">
        <f t="shared" ca="1" si="296"/>
        <v>0.01</v>
      </c>
      <c r="B706" s="304">
        <f t="shared" ca="1" si="297"/>
        <v>7.0199999999998948</v>
      </c>
      <c r="D706" s="306">
        <f t="shared" ca="1" si="298"/>
        <v>-12.005356045080543</v>
      </c>
      <c r="E706" s="307">
        <f t="shared" ca="1" si="299"/>
        <v>-38.852232684603081</v>
      </c>
      <c r="F706" s="304">
        <f t="shared" ca="1" si="300"/>
        <v>40.664782777579077</v>
      </c>
      <c r="G706" s="306">
        <f t="shared" ca="1" si="301"/>
        <v>171.94432175499051</v>
      </c>
      <c r="H706" s="307">
        <f t="shared" ca="1" si="302"/>
        <v>415.85349547566688</v>
      </c>
      <c r="I706" s="304">
        <f t="shared" ca="1" si="303"/>
        <v>449.9988660909205</v>
      </c>
      <c r="J706" s="306">
        <f t="shared" ca="1" si="304"/>
        <v>642.69761405910708</v>
      </c>
      <c r="K706" s="307">
        <f t="shared" ca="1" si="305"/>
        <v>1667.2606944936897</v>
      </c>
      <c r="L706" s="304">
        <f t="shared" ca="1" si="290"/>
        <v>1786.8459492974903</v>
      </c>
      <c r="M706" s="306">
        <f t="shared" ca="1" si="306"/>
        <v>1.1787292543056216</v>
      </c>
      <c r="N706" s="304">
        <f t="shared" ca="1" si="307"/>
        <v>67.536211460314831</v>
      </c>
      <c r="P706" s="310">
        <f t="shared" ca="1" si="308"/>
        <v>19</v>
      </c>
      <c r="Q706" s="304">
        <f t="shared" ca="1" si="309"/>
        <v>750.18451288082417</v>
      </c>
      <c r="R706" s="306">
        <f t="shared" ca="1" si="310"/>
        <v>0.45114156383156956</v>
      </c>
      <c r="S706" s="307">
        <f t="shared" ca="1" si="311"/>
        <v>15.14826092568218</v>
      </c>
      <c r="T706" s="304">
        <f t="shared" ca="1" si="291"/>
        <v>148.60443968094219</v>
      </c>
      <c r="U706" s="311">
        <f t="shared" ca="1" si="292"/>
        <v>0</v>
      </c>
      <c r="V706" s="306">
        <f t="shared" ca="1" si="293"/>
        <v>1.0364764593870601</v>
      </c>
      <c r="W706" s="304">
        <f t="shared" ca="1" si="294"/>
        <v>1223.5139904589685</v>
      </c>
      <c r="Y706" s="314" t="str">
        <f t="shared" ca="1" si="312"/>
        <v/>
      </c>
      <c r="Z706" s="315" t="str">
        <f t="shared" ca="1" si="313"/>
        <v/>
      </c>
      <c r="AA706" s="316" t="str">
        <f t="shared" ca="1" si="314"/>
        <v/>
      </c>
      <c r="AC706" s="310" t="e">
        <f t="shared" ca="1" si="315"/>
        <v>#N/A</v>
      </c>
      <c r="AD706" s="323" t="e">
        <f t="shared" ca="1" si="316"/>
        <v>#N/A</v>
      </c>
      <c r="AE706" s="324">
        <f t="shared" ca="1" si="295"/>
        <v>1667.2606944936897</v>
      </c>
      <c r="AG706" s="306">
        <f t="shared" ca="1" si="317"/>
        <v>-40.491724437226765</v>
      </c>
      <c r="AH706" s="304">
        <f t="shared" ca="1" si="318"/>
        <v>-31.425783253178899</v>
      </c>
    </row>
    <row r="707" spans="1:34" x14ac:dyDescent="0.2">
      <c r="A707" s="347">
        <f t="shared" ca="1" si="296"/>
        <v>0.01</v>
      </c>
      <c r="B707" s="304">
        <f t="shared" ca="1" si="297"/>
        <v>7.0299999999998946</v>
      </c>
      <c r="D707" s="306">
        <f t="shared" ca="1" si="298"/>
        <v>-12.572453723257876</v>
      </c>
      <c r="E707" s="307">
        <f t="shared" ca="1" si="299"/>
        <v>-40.216929255697302</v>
      </c>
      <c r="F707" s="304">
        <f t="shared" ca="1" si="300"/>
        <v>42.136302535714051</v>
      </c>
      <c r="G707" s="306">
        <f t="shared" ca="1" si="301"/>
        <v>171.81859721775794</v>
      </c>
      <c r="H707" s="307">
        <f t="shared" ca="1" si="302"/>
        <v>415.45132618310993</v>
      </c>
      <c r="I707" s="304">
        <f t="shared" ca="1" si="303"/>
        <v>449.57917520408233</v>
      </c>
      <c r="J707" s="306">
        <f t="shared" ca="1" si="304"/>
        <v>644.4164286539708</v>
      </c>
      <c r="K707" s="307">
        <f t="shared" ca="1" si="305"/>
        <v>1671.4172186019837</v>
      </c>
      <c r="L707" s="304">
        <f t="shared" ca="1" si="290"/>
        <v>1791.3425278707391</v>
      </c>
      <c r="M707" s="306">
        <f t="shared" ca="1" si="306"/>
        <v>1.1786458786541114</v>
      </c>
      <c r="N707" s="304">
        <f t="shared" ca="1" si="307"/>
        <v>67.531434387369146</v>
      </c>
      <c r="P707" s="310">
        <f t="shared" ca="1" si="308"/>
        <v>19</v>
      </c>
      <c r="Q707" s="304">
        <f t="shared" ca="1" si="309"/>
        <v>725.22493442649215</v>
      </c>
      <c r="R707" s="306">
        <f t="shared" ca="1" si="310"/>
        <v>0.43613151888512991</v>
      </c>
      <c r="S707" s="307">
        <f t="shared" ca="1" si="311"/>
        <v>15.14389961049333</v>
      </c>
      <c r="T707" s="304">
        <f t="shared" ca="1" si="291"/>
        <v>148.56165517893956</v>
      </c>
      <c r="U707" s="311">
        <f t="shared" ca="1" si="292"/>
        <v>0</v>
      </c>
      <c r="V707" s="306">
        <f t="shared" ca="1" si="293"/>
        <v>1.0360427138073889</v>
      </c>
      <c r="W707" s="304">
        <f t="shared" ca="1" si="294"/>
        <v>1220.7217744966872</v>
      </c>
      <c r="Y707" s="314" t="str">
        <f t="shared" ca="1" si="312"/>
        <v/>
      </c>
      <c r="Z707" s="315" t="str">
        <f t="shared" ca="1" si="313"/>
        <v/>
      </c>
      <c r="AA707" s="316" t="str">
        <f t="shared" ca="1" si="314"/>
        <v/>
      </c>
      <c r="AC707" s="310" t="e">
        <f t="shared" ca="1" si="315"/>
        <v>#N/A</v>
      </c>
      <c r="AD707" s="323" t="e">
        <f t="shared" ca="1" si="316"/>
        <v>#N/A</v>
      </c>
      <c r="AE707" s="324">
        <f t="shared" ca="1" si="295"/>
        <v>1671.4172186019837</v>
      </c>
      <c r="AG707" s="306">
        <f t="shared" ca="1" si="317"/>
        <v>-41.969244946286267</v>
      </c>
      <c r="AH707" s="304">
        <f t="shared" ca="1" si="318"/>
        <v>-32.903615901363203</v>
      </c>
    </row>
    <row r="708" spans="1:34" x14ac:dyDescent="0.2">
      <c r="A708" s="347">
        <f t="shared" ca="1" si="296"/>
        <v>0.01</v>
      </c>
      <c r="B708" s="304">
        <f t="shared" ca="1" si="297"/>
        <v>7.0399999999998943</v>
      </c>
      <c r="D708" s="306">
        <f t="shared" ca="1" si="298"/>
        <v>-13.138065265741139</v>
      </c>
      <c r="E708" s="307">
        <f t="shared" ca="1" si="299"/>
        <v>-41.577379821026064</v>
      </c>
      <c r="F708" s="304">
        <f t="shared" ca="1" si="300"/>
        <v>43.603752954404499</v>
      </c>
      <c r="G708" s="306">
        <f t="shared" ca="1" si="301"/>
        <v>171.68721656510053</v>
      </c>
      <c r="H708" s="307">
        <f t="shared" ca="1" si="302"/>
        <v>415.03555238489969</v>
      </c>
      <c r="I708" s="304">
        <f t="shared" ca="1" si="303"/>
        <v>449.1447540329404</v>
      </c>
      <c r="J708" s="306">
        <f t="shared" ca="1" si="304"/>
        <v>646.13395772288504</v>
      </c>
      <c r="K708" s="307">
        <f t="shared" ca="1" si="305"/>
        <v>1675.5696529948236</v>
      </c>
      <c r="L708" s="304">
        <f t="shared" ref="L708:L771" ca="1" si="319">SQRT(pos_x^2+pos_z^2)</f>
        <v>1795.8348346548557</v>
      </c>
      <c r="M708" s="306">
        <f t="shared" ca="1" si="306"/>
        <v>1.1785624055316972</v>
      </c>
      <c r="N708" s="304">
        <f t="shared" ca="1" si="307"/>
        <v>67.526651729752032</v>
      </c>
      <c r="P708" s="310">
        <f t="shared" ca="1" si="308"/>
        <v>19</v>
      </c>
      <c r="Q708" s="304">
        <f t="shared" ca="1" si="309"/>
        <v>700.26535597216014</v>
      </c>
      <c r="R708" s="306">
        <f t="shared" ca="1" si="310"/>
        <v>0.42112147393869026</v>
      </c>
      <c r="S708" s="307">
        <f t="shared" ca="1" si="311"/>
        <v>15.139688395753943</v>
      </c>
      <c r="T708" s="304">
        <f t="shared" ref="T708:T771" ca="1" si="320">m*g</f>
        <v>148.52034316234619</v>
      </c>
      <c r="U708" s="311">
        <f t="shared" ref="U708:U771" ca="1" si="321">IF(pos_xz&lt;L_rampe,Poids*COS(Beta),0)</f>
        <v>0</v>
      </c>
      <c r="V708" s="306">
        <f t="shared" ref="V708:V771" ca="1" si="322">Rho_moyen*(20000-Alt_rampe-pos_z)/(20000+Alt_rampe+pos_z)</f>
        <v>1.0356095611069611</v>
      </c>
      <c r="W708" s="304">
        <f t="shared" ref="W708:W771" ca="1" si="323">1/2*Rho*Sref*Cx*vit_xz^2</f>
        <v>1217.854408220137</v>
      </c>
      <c r="Y708" s="314" t="str">
        <f t="shared" ca="1" si="312"/>
        <v/>
      </c>
      <c r="Z708" s="315" t="str">
        <f t="shared" ca="1" si="313"/>
        <v/>
      </c>
      <c r="AA708" s="316" t="str">
        <f t="shared" ca="1" si="314"/>
        <v/>
      </c>
      <c r="AC708" s="310" t="e">
        <f t="shared" ca="1" si="315"/>
        <v>#N/A</v>
      </c>
      <c r="AD708" s="323" t="e">
        <f t="shared" ca="1" si="316"/>
        <v>#N/A</v>
      </c>
      <c r="AE708" s="324">
        <f t="shared" ref="AE708:AE771" ca="1" si="324">IF(t&lt;T_para, pos_z, NA())</f>
        <v>1675.5696529948236</v>
      </c>
      <c r="AG708" s="306">
        <f t="shared" ca="1" si="317"/>
        <v>-43.442273590882728</v>
      </c>
      <c r="AH708" s="304">
        <f t="shared" ca="1" si="318"/>
        <v>-34.376957102399388</v>
      </c>
    </row>
    <row r="709" spans="1:34" x14ac:dyDescent="0.2">
      <c r="A709" s="347">
        <f t="shared" ref="A709:A772" ca="1" si="325">IF(B708+0.01&lt;=T_ini+ROUNDUP(Temps_fin_propu,0), 0.01, IF(K708&gt;0, 0.1, 0.0001))</f>
        <v>0.01</v>
      </c>
      <c r="B709" s="304">
        <f t="shared" ref="B709:B772" ca="1" si="326">B708+pas</f>
        <v>7.0499999999998941</v>
      </c>
      <c r="D709" s="306">
        <f t="shared" ref="D709:D772" ca="1" si="327">IF(AND(L708&lt;L_rampe,Poussee&lt;Poids*SIN(M708)),0,(-W708+Poussee)/m*COS(M708)-U708/m*SIN(M708))</f>
        <v>-13.702186532532894</v>
      </c>
      <c r="E709" s="307">
        <f t="shared" ref="E709:E772" ca="1" si="328">IF(AND(L708&lt;L_rampe,Poussee&lt;Poids*SIN(M708)),0,(-W708+Poussee)/m*SIN(M708)+U708/m*COS(M708)-Poids/m)</f>
        <v>-42.933575943432928</v>
      </c>
      <c r="F709" s="304">
        <f t="shared" ref="F709:F772" ca="1" si="329">SQRT(acc_x^2+acc_z^2)</f>
        <v>45.067081767769793</v>
      </c>
      <c r="G709" s="306">
        <f t="shared" ref="G709:G772" ca="1" si="330">G708+acc_x*pas</f>
        <v>171.5501946997752</v>
      </c>
      <c r="H709" s="307">
        <f t="shared" ref="H709:H772" ca="1" si="331">H708+acc_z*pas</f>
        <v>414.60621662546538</v>
      </c>
      <c r="I709" s="304">
        <f t="shared" ref="I709:I772" ca="1" si="332">SQRT(vit_x^2+vit_z^2)</f>
        <v>448.69564758978117</v>
      </c>
      <c r="J709" s="306">
        <f t="shared" ref="J709:J772" ca="1" si="333">J708+0.5*(vit_x+G708)*pas*(K708&gt;=0)</f>
        <v>647.85014477920947</v>
      </c>
      <c r="K709" s="307">
        <f t="shared" ref="K709:K772" ca="1" si="334">K708+0.5*(vit_z+H708)*pas</f>
        <v>1679.7178618398755</v>
      </c>
      <c r="L709" s="304">
        <f t="shared" ca="1" si="319"/>
        <v>1800.3227225901376</v>
      </c>
      <c r="M709" s="306">
        <f t="shared" ref="M709:M772" ca="1" si="335">IF(AND(L708&gt;L_rampe,G709&gt;0),ATAN2(G709,H709),$M$4)</f>
        <v>1.1784788319953619</v>
      </c>
      <c r="N709" s="304">
        <f t="shared" ref="N709:N772" ca="1" si="336">DEGREES(Beta)</f>
        <v>67.521863318841042</v>
      </c>
      <c r="P709" s="310">
        <f t="shared" ref="P709:P772" ca="1" si="337">MATCH(t-pas/2-T_ini,CdP_t)</f>
        <v>19</v>
      </c>
      <c r="Q709" s="304">
        <f t="shared" ref="Q709:Q772" ca="1" si="338">(INDEX(CdP,2,i_P+1)-INDEX(CdP,2,i_P+0))/(INDEX(CdP,1,i_P+1)-INDEX(CdP,1,i_P+0))*(t-pas/2-T_ini-INDEX(CdP,1,i_P+0))+INDEX(CdP,2,i_P+0)</f>
        <v>675.30577751782812</v>
      </c>
      <c r="R709" s="306">
        <f t="shared" ref="R709:R772" ca="1" si="339">Poussee/(g*ISP)</f>
        <v>0.40611142899225061</v>
      </c>
      <c r="S709" s="307">
        <f t="shared" ref="S709:S772" ca="1" si="340">S708-Débit*pas</f>
        <v>15.135627281464021</v>
      </c>
      <c r="T709" s="304">
        <f t="shared" ca="1" si="320"/>
        <v>148.48050363116207</v>
      </c>
      <c r="U709" s="311">
        <f t="shared" ca="1" si="321"/>
        <v>0</v>
      </c>
      <c r="V709" s="306">
        <f t="shared" ca="1" si="322"/>
        <v>1.0351770148609101</v>
      </c>
      <c r="W709" s="304">
        <f t="shared" ca="1" si="323"/>
        <v>1214.9124765300337</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f t="shared" ca="1" si="324"/>
        <v>1679.7178618398755</v>
      </c>
      <c r="AG709" s="306">
        <f t="shared" ref="AG709:AG772" ca="1" si="346">IF(AND(L708&lt;L_rampe,Poussee&lt;Poids*SIN(M708)),0,(-W708+Poussee)/m-Poids*SIN(M708)/m)</f>
        <v>-44.910801012469861</v>
      </c>
      <c r="AH709" s="304">
        <f t="shared" ref="AH709:AH772" ca="1" si="347">IF(AND(L708&lt;L_rampe,Poussee&lt;Poids*SIN(M708)), g*SIN(M708), (-W708+Poussee)/m)</f>
        <v>-35.845797508950675</v>
      </c>
    </row>
    <row r="710" spans="1:34" x14ac:dyDescent="0.2">
      <c r="A710" s="347">
        <f t="shared" ca="1" si="325"/>
        <v>0.01</v>
      </c>
      <c r="B710" s="304">
        <f t="shared" ca="1" si="326"/>
        <v>7.0599999999998939</v>
      </c>
      <c r="D710" s="306">
        <f t="shared" ca="1" si="327"/>
        <v>-14.26481364947657</v>
      </c>
      <c r="E710" s="307">
        <f t="shared" ca="1" si="328"/>
        <v>-44.28550979715984</v>
      </c>
      <c r="F710" s="304">
        <f t="shared" ca="1" si="329"/>
        <v>46.52624298660524</v>
      </c>
      <c r="G710" s="306">
        <f t="shared" ca="1" si="330"/>
        <v>171.40754656328045</v>
      </c>
      <c r="H710" s="307">
        <f t="shared" ca="1" si="331"/>
        <v>414.16336152749381</v>
      </c>
      <c r="I710" s="304">
        <f t="shared" ca="1" si="332"/>
        <v>448.23190097381143</v>
      </c>
      <c r="J710" s="306">
        <f t="shared" ca="1" si="333"/>
        <v>649.56493348552476</v>
      </c>
      <c r="K710" s="307">
        <f t="shared" ca="1" si="334"/>
        <v>1683.8617097306403</v>
      </c>
      <c r="L710" s="304">
        <f t="shared" ca="1" si="319"/>
        <v>1804.8060450671837</v>
      </c>
      <c r="M710" s="306">
        <f t="shared" ca="1" si="335"/>
        <v>1.1783951550911991</v>
      </c>
      <c r="N710" s="304">
        <f t="shared" ca="1" si="336"/>
        <v>67.517068985389784</v>
      </c>
      <c r="P710" s="310">
        <f t="shared" ca="1" si="337"/>
        <v>19</v>
      </c>
      <c r="Q710" s="304">
        <f t="shared" ca="1" si="338"/>
        <v>650.3461990634961</v>
      </c>
      <c r="R710" s="306">
        <f t="shared" ca="1" si="339"/>
        <v>0.39110138404581102</v>
      </c>
      <c r="S710" s="307">
        <f t="shared" ca="1" si="340"/>
        <v>15.131716267623563</v>
      </c>
      <c r="T710" s="304">
        <f t="shared" ca="1" si="320"/>
        <v>148.44213658538717</v>
      </c>
      <c r="U710" s="311">
        <f t="shared" ca="1" si="321"/>
        <v>0</v>
      </c>
      <c r="V710" s="306">
        <f t="shared" ca="1" si="322"/>
        <v>1.0347450885794587</v>
      </c>
      <c r="W710" s="304">
        <f t="shared" ca="1" si="323"/>
        <v>1211.8965703742438</v>
      </c>
      <c r="Y710" s="314" t="str">
        <f t="shared" ca="1" si="341"/>
        <v/>
      </c>
      <c r="Z710" s="315" t="str">
        <f t="shared" ca="1" si="342"/>
        <v/>
      </c>
      <c r="AA710" s="316" t="str">
        <f t="shared" ca="1" si="343"/>
        <v/>
      </c>
      <c r="AC710" s="310" t="e">
        <f t="shared" ca="1" si="344"/>
        <v>#N/A</v>
      </c>
      <c r="AD710" s="323" t="e">
        <f t="shared" ca="1" si="345"/>
        <v>#N/A</v>
      </c>
      <c r="AE710" s="324">
        <f t="shared" ca="1" si="324"/>
        <v>1683.8617097306403</v>
      </c>
      <c r="AG710" s="306">
        <f t="shared" ca="1" si="346"/>
        <v>-46.374818519028651</v>
      </c>
      <c r="AH710" s="304">
        <f t="shared" ca="1" si="347"/>
        <v>-37.310128440255426</v>
      </c>
    </row>
    <row r="711" spans="1:34" x14ac:dyDescent="0.2">
      <c r="A711" s="347">
        <f t="shared" ca="1" si="325"/>
        <v>0.01</v>
      </c>
      <c r="B711" s="304">
        <f t="shared" ca="1" si="326"/>
        <v>7.0699999999998937</v>
      </c>
      <c r="D711" s="306">
        <f t="shared" ca="1" si="327"/>
        <v>-14.825943005591114</v>
      </c>
      <c r="E711" s="307">
        <f t="shared" ca="1" si="328"/>
        <v>-45.633174160793111</v>
      </c>
      <c r="F711" s="304">
        <f t="shared" ca="1" si="329"/>
        <v>47.981196004208897</v>
      </c>
      <c r="G711" s="306">
        <f t="shared" ca="1" si="330"/>
        <v>171.25928713322455</v>
      </c>
      <c r="H711" s="307">
        <f t="shared" ca="1" si="331"/>
        <v>413.70702978588588</v>
      </c>
      <c r="I711" s="304">
        <f t="shared" ca="1" si="332"/>
        <v>447.75355936456845</v>
      </c>
      <c r="J711" s="306">
        <f t="shared" ca="1" si="333"/>
        <v>651.27826765400732</v>
      </c>
      <c r="K711" s="307">
        <f t="shared" ca="1" si="334"/>
        <v>1688.0010616872073</v>
      </c>
      <c r="L711" s="304">
        <f t="shared" ca="1" si="319"/>
        <v>1809.2846559277352</v>
      </c>
      <c r="M711" s="306">
        <f t="shared" ca="1" si="335"/>
        <v>1.1783113718538429</v>
      </c>
      <c r="N711" s="304">
        <f t="shared" ca="1" si="336"/>
        <v>67.51226855949534</v>
      </c>
      <c r="P711" s="310">
        <f t="shared" ca="1" si="337"/>
        <v>19</v>
      </c>
      <c r="Q711" s="304">
        <f t="shared" ca="1" si="338"/>
        <v>625.38662060916408</v>
      </c>
      <c r="R711" s="306">
        <f t="shared" ca="1" si="339"/>
        <v>0.37609133909937137</v>
      </c>
      <c r="S711" s="307">
        <f t="shared" ca="1" si="340"/>
        <v>15.127955354232569</v>
      </c>
      <c r="T711" s="304">
        <f t="shared" ca="1" si="320"/>
        <v>148.40524202502149</v>
      </c>
      <c r="U711" s="311">
        <f t="shared" ca="1" si="321"/>
        <v>0</v>
      </c>
      <c r="V711" s="306">
        <f t="shared" ca="1" si="322"/>
        <v>1.034313795708016</v>
      </c>
      <c r="W711" s="304">
        <f t="shared" ca="1" si="323"/>
        <v>1208.807286608501</v>
      </c>
      <c r="Y711" s="314" t="str">
        <f t="shared" ca="1" si="341"/>
        <v/>
      </c>
      <c r="Z711" s="315" t="str">
        <f t="shared" ca="1" si="342"/>
        <v/>
      </c>
      <c r="AA711" s="316" t="str">
        <f t="shared" ca="1" si="343"/>
        <v/>
      </c>
      <c r="AC711" s="310" t="e">
        <f t="shared" ca="1" si="344"/>
        <v>#N/A</v>
      </c>
      <c r="AD711" s="323" t="e">
        <f t="shared" ca="1" si="345"/>
        <v>#N/A</v>
      </c>
      <c r="AE711" s="324">
        <f t="shared" ca="1" si="324"/>
        <v>1688.0010616872073</v>
      </c>
      <c r="AG711" s="306">
        <f t="shared" ca="1" si="346"/>
        <v>-47.834318077534057</v>
      </c>
      <c r="AH711" s="304">
        <f t="shared" ca="1" si="347"/>
        <v>-38.769941874595979</v>
      </c>
    </row>
    <row r="712" spans="1:34" x14ac:dyDescent="0.2">
      <c r="A712" s="347">
        <f t="shared" ca="1" si="325"/>
        <v>0.01</v>
      </c>
      <c r="B712" s="304">
        <f t="shared" ca="1" si="326"/>
        <v>7.0799999999998935</v>
      </c>
      <c r="D712" s="306">
        <f t="shared" ca="1" si="327"/>
        <v>-15.393388680245286</v>
      </c>
      <c r="E712" s="307">
        <f t="shared" ca="1" si="328"/>
        <v>-46.995446791507078</v>
      </c>
      <c r="F712" s="304">
        <f t="shared" ca="1" si="329"/>
        <v>49.452284418361067</v>
      </c>
      <c r="G712" s="306">
        <f t="shared" ca="1" si="330"/>
        <v>171.10535324642208</v>
      </c>
      <c r="H712" s="307">
        <f t="shared" ca="1" si="331"/>
        <v>413.23707531797083</v>
      </c>
      <c r="I712" s="304">
        <f t="shared" ca="1" si="332"/>
        <v>447.26046363045907</v>
      </c>
      <c r="J712" s="306">
        <f t="shared" ca="1" si="333"/>
        <v>652.99009085590558</v>
      </c>
      <c r="K712" s="307">
        <f t="shared" ca="1" si="334"/>
        <v>1692.1357822127266</v>
      </c>
      <c r="L712" s="304">
        <f t="shared" ca="1" si="319"/>
        <v>1813.7584084438258</v>
      </c>
      <c r="M712" s="306">
        <f t="shared" ca="1" si="335"/>
        <v>1.1782274792675567</v>
      </c>
      <c r="N712" s="304">
        <f t="shared" ca="1" si="336"/>
        <v>67.507461868368694</v>
      </c>
      <c r="P712" s="310">
        <f t="shared" ca="1" si="337"/>
        <v>20</v>
      </c>
      <c r="Q712" s="304">
        <f t="shared" ca="1" si="338"/>
        <v>600.11784848514651</v>
      </c>
      <c r="R712" s="306">
        <f t="shared" ca="1" si="339"/>
        <v>0.3608953530767382</v>
      </c>
      <c r="S712" s="307">
        <f t="shared" ca="1" si="340"/>
        <v>15.124346400701802</v>
      </c>
      <c r="T712" s="304">
        <f t="shared" ca="1" si="320"/>
        <v>148.36983819088468</v>
      </c>
      <c r="U712" s="311">
        <f t="shared" ca="1" si="321"/>
        <v>0</v>
      </c>
      <c r="V712" s="306">
        <f t="shared" ca="1" si="322"/>
        <v>1.0338831497255967</v>
      </c>
      <c r="W712" s="304">
        <f t="shared" ca="1" si="323"/>
        <v>1205.6441260845586</v>
      </c>
      <c r="Y712" s="314" t="str">
        <f t="shared" ca="1" si="341"/>
        <v/>
      </c>
      <c r="Z712" s="315" t="str">
        <f t="shared" ca="1" si="342"/>
        <v/>
      </c>
      <c r="AA712" s="316" t="str">
        <f t="shared" ca="1" si="343"/>
        <v/>
      </c>
      <c r="AC712" s="310" t="e">
        <f t="shared" ca="1" si="344"/>
        <v>#N/A</v>
      </c>
      <c r="AD712" s="323" t="e">
        <f t="shared" ca="1" si="345"/>
        <v>#N/A</v>
      </c>
      <c r="AE712" s="324">
        <f t="shared" ca="1" si="324"/>
        <v>1692.1357822127266</v>
      </c>
      <c r="AG712" s="306">
        <f t="shared" ca="1" si="346"/>
        <v>-49.309730801138571</v>
      </c>
      <c r="AH712" s="304">
        <f t="shared" ca="1" si="347"/>
        <v>-40.245668936484428</v>
      </c>
    </row>
    <row r="713" spans="1:34" x14ac:dyDescent="0.2">
      <c r="A713" s="347">
        <f t="shared" ca="1" si="325"/>
        <v>0.01</v>
      </c>
      <c r="B713" s="304">
        <f t="shared" ca="1" si="326"/>
        <v>7.0899999999998933</v>
      </c>
      <c r="D713" s="306">
        <f t="shared" ca="1" si="327"/>
        <v>-16.029693429622835</v>
      </c>
      <c r="E713" s="307">
        <f t="shared" ca="1" si="328"/>
        <v>-48.523362880945079</v>
      </c>
      <c r="F713" s="304">
        <f t="shared" ca="1" si="329"/>
        <v>51.102522606262525</v>
      </c>
      <c r="G713" s="306">
        <f t="shared" ca="1" si="330"/>
        <v>170.94505631212584</v>
      </c>
      <c r="H713" s="307">
        <f t="shared" ca="1" si="331"/>
        <v>412.75184168916138</v>
      </c>
      <c r="I713" s="304">
        <f t="shared" ca="1" si="332"/>
        <v>446.75081991570022</v>
      </c>
      <c r="J713" s="306">
        <f t="shared" ca="1" si="333"/>
        <v>654.70034290369836</v>
      </c>
      <c r="K713" s="307">
        <f t="shared" ca="1" si="334"/>
        <v>1696.2657267977622</v>
      </c>
      <c r="L713" s="304">
        <f t="shared" ca="1" si="319"/>
        <v>1818.2271461253019</v>
      </c>
      <c r="M713" s="306">
        <f t="shared" ca="1" si="335"/>
        <v>1.178143473957866</v>
      </c>
      <c r="N713" s="304">
        <f t="shared" ca="1" si="336"/>
        <v>67.502648718666734</v>
      </c>
      <c r="P713" s="310">
        <f t="shared" ca="1" si="337"/>
        <v>20</v>
      </c>
      <c r="Q713" s="304">
        <f t="shared" ca="1" si="338"/>
        <v>572.06633333363197</v>
      </c>
      <c r="R713" s="306">
        <f t="shared" ca="1" si="339"/>
        <v>0.34402589736816686</v>
      </c>
      <c r="S713" s="307">
        <f t="shared" ca="1" si="340"/>
        <v>15.120906141728121</v>
      </c>
      <c r="T713" s="304">
        <f t="shared" ca="1" si="320"/>
        <v>148.33608925035287</v>
      </c>
      <c r="U713" s="311">
        <f t="shared" ca="1" si="321"/>
        <v>0</v>
      </c>
      <c r="V713" s="306">
        <f t="shared" ca="1" si="322"/>
        <v>1.0334531650291556</v>
      </c>
      <c r="W713" s="304">
        <f t="shared" ca="1" si="323"/>
        <v>1202.3978033987612</v>
      </c>
      <c r="Y713" s="314" t="str">
        <f t="shared" ca="1" si="341"/>
        <v/>
      </c>
      <c r="Z713" s="315" t="str">
        <f t="shared" ca="1" si="342"/>
        <v/>
      </c>
      <c r="AA713" s="316" t="str">
        <f t="shared" ca="1" si="343"/>
        <v/>
      </c>
      <c r="AC713" s="310" t="e">
        <f t="shared" ca="1" si="344"/>
        <v>#N/A</v>
      </c>
      <c r="AD713" s="323" t="e">
        <f t="shared" ca="1" si="345"/>
        <v>#N/A</v>
      </c>
      <c r="AE713" s="324">
        <f t="shared" ca="1" si="324"/>
        <v>1696.2657267977622</v>
      </c>
      <c r="AG713" s="306">
        <f t="shared" ca="1" si="346"/>
        <v>-50.96452910949732</v>
      </c>
      <c r="AH713" s="304">
        <f t="shared" ca="1" si="347"/>
        <v>-41.900782057133846</v>
      </c>
    </row>
    <row r="714" spans="1:34" x14ac:dyDescent="0.2">
      <c r="A714" s="347">
        <f t="shared" ca="1" si="325"/>
        <v>0.01</v>
      </c>
      <c r="B714" s="304">
        <f t="shared" ca="1" si="326"/>
        <v>7.0999999999998931</v>
      </c>
      <c r="D714" s="306">
        <f t="shared" ca="1" si="327"/>
        <v>-16.664256538616431</v>
      </c>
      <c r="E714" s="307">
        <f t="shared" ca="1" si="328"/>
        <v>-50.046335142303157</v>
      </c>
      <c r="F714" s="304">
        <f t="shared" ca="1" si="329"/>
        <v>52.747825615474888</v>
      </c>
      <c r="G714" s="306">
        <f t="shared" ca="1" si="330"/>
        <v>170.77841374673969</v>
      </c>
      <c r="H714" s="307">
        <f t="shared" ca="1" si="331"/>
        <v>412.25137833773834</v>
      </c>
      <c r="I714" s="304">
        <f t="shared" ca="1" si="332"/>
        <v>446.22468056262608</v>
      </c>
      <c r="J714" s="306">
        <f t="shared" ca="1" si="333"/>
        <v>656.40896025399263</v>
      </c>
      <c r="K714" s="307">
        <f t="shared" ca="1" si="334"/>
        <v>1700.3907428978966</v>
      </c>
      <c r="L714" s="304">
        <f t="shared" ca="1" si="319"/>
        <v>1822.6907037768608</v>
      </c>
      <c r="M714" s="306">
        <f t="shared" ca="1" si="335"/>
        <v>1.1780593525353782</v>
      </c>
      <c r="N714" s="304">
        <f t="shared" ca="1" si="336"/>
        <v>67.497828916191551</v>
      </c>
      <c r="P714" s="310">
        <f t="shared" ca="1" si="337"/>
        <v>20</v>
      </c>
      <c r="Q714" s="304">
        <f t="shared" ca="1" si="338"/>
        <v>544.01481818211744</v>
      </c>
      <c r="R714" s="306">
        <f t="shared" ca="1" si="339"/>
        <v>0.32715644165959551</v>
      </c>
      <c r="S714" s="307">
        <f t="shared" ca="1" si="340"/>
        <v>15.117634577311524</v>
      </c>
      <c r="T714" s="304">
        <f t="shared" ca="1" si="320"/>
        <v>148.30399520342607</v>
      </c>
      <c r="U714" s="311">
        <f t="shared" ca="1" si="321"/>
        <v>0</v>
      </c>
      <c r="V714" s="306">
        <f t="shared" ca="1" si="322"/>
        <v>1.0330238568301688</v>
      </c>
      <c r="W714" s="304">
        <f t="shared" ca="1" si="323"/>
        <v>1199.0690244892812</v>
      </c>
      <c r="Y714" s="314" t="str">
        <f t="shared" ca="1" si="341"/>
        <v/>
      </c>
      <c r="Z714" s="315" t="str">
        <f t="shared" ca="1" si="342"/>
        <v/>
      </c>
      <c r="AA714" s="316" t="str">
        <f t="shared" ca="1" si="343"/>
        <v/>
      </c>
      <c r="AC714" s="310" t="e">
        <f t="shared" ca="1" si="344"/>
        <v>#N/A</v>
      </c>
      <c r="AD714" s="323" t="e">
        <f t="shared" ca="1" si="345"/>
        <v>#N/A</v>
      </c>
      <c r="AE714" s="324">
        <f t="shared" ca="1" si="324"/>
        <v>1700.3907428978966</v>
      </c>
      <c r="AG714" s="306">
        <f t="shared" ca="1" si="346"/>
        <v>-52.614093190936906</v>
      </c>
      <c r="AH714" s="304">
        <f t="shared" ca="1" si="347"/>
        <v>-43.550661437784846</v>
      </c>
    </row>
    <row r="715" spans="1:34" x14ac:dyDescent="0.2">
      <c r="A715" s="347">
        <f t="shared" ca="1" si="325"/>
        <v>0.01</v>
      </c>
      <c r="B715" s="304">
        <f t="shared" ca="1" si="326"/>
        <v>7.1099999999998929</v>
      </c>
      <c r="D715" s="306">
        <f t="shared" ca="1" si="327"/>
        <v>-17.297072863645329</v>
      </c>
      <c r="E715" s="307">
        <f t="shared" ca="1" si="328"/>
        <v>-51.56435274753634</v>
      </c>
      <c r="F715" s="304">
        <f t="shared" ca="1" si="329"/>
        <v>54.388153157857957</v>
      </c>
      <c r="G715" s="306">
        <f t="shared" ca="1" si="330"/>
        <v>170.60544301810324</v>
      </c>
      <c r="H715" s="307">
        <f t="shared" ca="1" si="331"/>
        <v>411.73573481026295</v>
      </c>
      <c r="I715" s="304">
        <f t="shared" ca="1" si="332"/>
        <v>445.68209803306036</v>
      </c>
      <c r="J715" s="306">
        <f t="shared" ca="1" si="333"/>
        <v>658.1158795378168</v>
      </c>
      <c r="K715" s="307">
        <f t="shared" ca="1" si="334"/>
        <v>1704.5106784636366</v>
      </c>
      <c r="L715" s="304">
        <f t="shared" ca="1" si="319"/>
        <v>1827.1489167269319</v>
      </c>
      <c r="M715" s="306">
        <f t="shared" ca="1" si="335"/>
        <v>1.1779751115950337</v>
      </c>
      <c r="N715" s="304">
        <f t="shared" ca="1" si="336"/>
        <v>67.493002265847593</v>
      </c>
      <c r="P715" s="310">
        <f t="shared" ca="1" si="337"/>
        <v>20</v>
      </c>
      <c r="Q715" s="304">
        <f t="shared" ca="1" si="338"/>
        <v>515.9633030306029</v>
      </c>
      <c r="R715" s="306">
        <f t="shared" ca="1" si="339"/>
        <v>0.31028698595102416</v>
      </c>
      <c r="S715" s="307">
        <f t="shared" ca="1" si="340"/>
        <v>15.114531707452013</v>
      </c>
      <c r="T715" s="304">
        <f t="shared" ca="1" si="320"/>
        <v>148.27355605010425</v>
      </c>
      <c r="U715" s="311">
        <f t="shared" ca="1" si="321"/>
        <v>0</v>
      </c>
      <c r="V715" s="306">
        <f t="shared" ca="1" si="322"/>
        <v>1.0325952402659042</v>
      </c>
      <c r="W715" s="304">
        <f t="shared" ca="1" si="323"/>
        <v>1195.6585028966151</v>
      </c>
      <c r="Y715" s="314" t="str">
        <f t="shared" ca="1" si="341"/>
        <v/>
      </c>
      <c r="Z715" s="315" t="str">
        <f t="shared" ca="1" si="342"/>
        <v/>
      </c>
      <c r="AA715" s="316" t="str">
        <f t="shared" ca="1" si="343"/>
        <v/>
      </c>
      <c r="AC715" s="310" t="e">
        <f t="shared" ca="1" si="344"/>
        <v>#N/A</v>
      </c>
      <c r="AD715" s="323" t="e">
        <f t="shared" ca="1" si="345"/>
        <v>#N/A</v>
      </c>
      <c r="AE715" s="324">
        <f t="shared" ca="1" si="324"/>
        <v>1704.5106784636366</v>
      </c>
      <c r="AG715" s="306">
        <f t="shared" ca="1" si="346"/>
        <v>-54.258411096520092</v>
      </c>
      <c r="AH715" s="304">
        <f t="shared" ca="1" si="347"/>
        <v>-45.195295142480823</v>
      </c>
    </row>
    <row r="716" spans="1:34" x14ac:dyDescent="0.2">
      <c r="A716" s="347">
        <f t="shared" ca="1" si="325"/>
        <v>0.01</v>
      </c>
      <c r="B716" s="304">
        <f t="shared" ca="1" si="326"/>
        <v>7.1199999999998926</v>
      </c>
      <c r="D716" s="306">
        <f t="shared" ca="1" si="327"/>
        <v>-17.928137598561662</v>
      </c>
      <c r="E716" s="307">
        <f t="shared" ca="1" si="328"/>
        <v>-53.077405642737972</v>
      </c>
      <c r="F716" s="304">
        <f t="shared" ca="1" si="329"/>
        <v>56.023469256345713</v>
      </c>
      <c r="G716" s="306">
        <f t="shared" ca="1" si="330"/>
        <v>170.42616164211762</v>
      </c>
      <c r="H716" s="307">
        <f t="shared" ca="1" si="331"/>
        <v>411.20496075383556</v>
      </c>
      <c r="I716" s="304">
        <f t="shared" ca="1" si="332"/>
        <v>445.1231248998738</v>
      </c>
      <c r="J716" s="306">
        <f t="shared" ca="1" si="333"/>
        <v>659.82103756111792</v>
      </c>
      <c r="K716" s="307">
        <f t="shared" ca="1" si="334"/>
        <v>1708.6253819414571</v>
      </c>
      <c r="L716" s="304">
        <f t="shared" ca="1" si="319"/>
        <v>1831.6016208288363</v>
      </c>
      <c r="M716" s="306">
        <f t="shared" ca="1" si="335"/>
        <v>1.1778907477153484</v>
      </c>
      <c r="N716" s="304">
        <f t="shared" ca="1" si="336"/>
        <v>67.48816857159828</v>
      </c>
      <c r="P716" s="310">
        <f t="shared" ca="1" si="337"/>
        <v>20</v>
      </c>
      <c r="Q716" s="304">
        <f t="shared" ca="1" si="338"/>
        <v>487.91178787908837</v>
      </c>
      <c r="R716" s="306">
        <f t="shared" ca="1" si="339"/>
        <v>0.29341753024245282</v>
      </c>
      <c r="S716" s="307">
        <f t="shared" ca="1" si="340"/>
        <v>15.111597532149588</v>
      </c>
      <c r="T716" s="304">
        <f t="shared" ca="1" si="320"/>
        <v>148.24477179038746</v>
      </c>
      <c r="U716" s="311">
        <f t="shared" ca="1" si="321"/>
        <v>0</v>
      </c>
      <c r="V716" s="306">
        <f t="shared" ca="1" si="322"/>
        <v>1.0321673303995176</v>
      </c>
      <c r="W716" s="304">
        <f t="shared" ca="1" si="323"/>
        <v>1192.1669595841338</v>
      </c>
      <c r="Y716" s="314" t="str">
        <f t="shared" ca="1" si="341"/>
        <v/>
      </c>
      <c r="Z716" s="315" t="str">
        <f t="shared" ca="1" si="342"/>
        <v/>
      </c>
      <c r="AA716" s="316" t="str">
        <f t="shared" ca="1" si="343"/>
        <v/>
      </c>
      <c r="AC716" s="310" t="e">
        <f t="shared" ca="1" si="344"/>
        <v>#N/A</v>
      </c>
      <c r="AD716" s="323" t="e">
        <f t="shared" ca="1" si="345"/>
        <v>#N/A</v>
      </c>
      <c r="AE716" s="324">
        <f t="shared" ca="1" si="324"/>
        <v>1708.6253819414571</v>
      </c>
      <c r="AG716" s="306">
        <f t="shared" ca="1" si="346"/>
        <v>-55.897471721601995</v>
      </c>
      <c r="AH716" s="304">
        <f t="shared" ca="1" si="347"/>
        <v>-46.834672079627012</v>
      </c>
    </row>
    <row r="717" spans="1:34" x14ac:dyDescent="0.2">
      <c r="A717" s="347">
        <f t="shared" ca="1" si="325"/>
        <v>0.01</v>
      </c>
      <c r="B717" s="304">
        <f t="shared" ca="1" si="326"/>
        <v>7.1299999999998924</v>
      </c>
      <c r="D717" s="306">
        <f t="shared" ca="1" si="327"/>
        <v>-18.557446271209841</v>
      </c>
      <c r="E717" s="307">
        <f t="shared" ca="1" si="328"/>
        <v>-54.585484538979479</v>
      </c>
      <c r="F717" s="304">
        <f t="shared" ca="1" si="329"/>
        <v>57.65374172127953</v>
      </c>
      <c r="G717" s="306">
        <f t="shared" ca="1" si="330"/>
        <v>170.24058717940551</v>
      </c>
      <c r="H717" s="307">
        <f t="shared" ca="1" si="331"/>
        <v>410.65910590844578</v>
      </c>
      <c r="I717" s="304">
        <f t="shared" ca="1" si="332"/>
        <v>444.54781383863855</v>
      </c>
      <c r="J717" s="306">
        <f t="shared" ca="1" si="333"/>
        <v>661.52437130522549</v>
      </c>
      <c r="K717" s="307">
        <f t="shared" ca="1" si="334"/>
        <v>1712.7347022747686</v>
      </c>
      <c r="L717" s="304">
        <f t="shared" ca="1" si="319"/>
        <v>1836.0486524618605</v>
      </c>
      <c r="M717" s="306">
        <f t="shared" ca="1" si="335"/>
        <v>1.1778062574576511</v>
      </c>
      <c r="N717" s="304">
        <f t="shared" ca="1" si="336"/>
        <v>67.483327636422246</v>
      </c>
      <c r="P717" s="310">
        <f t="shared" ca="1" si="337"/>
        <v>20</v>
      </c>
      <c r="Q717" s="304">
        <f t="shared" ca="1" si="338"/>
        <v>459.86027272757383</v>
      </c>
      <c r="R717" s="306">
        <f t="shared" ca="1" si="339"/>
        <v>0.27654807453388147</v>
      </c>
      <c r="S717" s="307">
        <f t="shared" ca="1" si="340"/>
        <v>15.108832051404249</v>
      </c>
      <c r="T717" s="304">
        <f t="shared" ca="1" si="320"/>
        <v>148.21764242427568</v>
      </c>
      <c r="U717" s="311">
        <f t="shared" ca="1" si="321"/>
        <v>0</v>
      </c>
      <c r="V717" s="306">
        <f t="shared" ca="1" si="322"/>
        <v>1.0317401422201526</v>
      </c>
      <c r="W717" s="304">
        <f t="shared" ca="1" si="323"/>
        <v>1188.5951227602247</v>
      </c>
      <c r="Y717" s="314" t="str">
        <f t="shared" ca="1" si="341"/>
        <v/>
      </c>
      <c r="Z717" s="315" t="str">
        <f t="shared" ca="1" si="342"/>
        <v/>
      </c>
      <c r="AA717" s="316" t="str">
        <f t="shared" ca="1" si="343"/>
        <v/>
      </c>
      <c r="AC717" s="310" t="e">
        <f t="shared" ca="1" si="344"/>
        <v>#N/A</v>
      </c>
      <c r="AD717" s="323" t="e">
        <f t="shared" ca="1" si="345"/>
        <v>#N/A</v>
      </c>
      <c r="AE717" s="324">
        <f t="shared" ca="1" si="324"/>
        <v>1712.7347022747686</v>
      </c>
      <c r="AG717" s="306">
        <f t="shared" ca="1" si="346"/>
        <v>-57.531264796055389</v>
      </c>
      <c r="AH717" s="304">
        <f t="shared" ca="1" si="347"/>
        <v>-48.468781992218766</v>
      </c>
    </row>
    <row r="718" spans="1:34" x14ac:dyDescent="0.2">
      <c r="A718" s="347">
        <f t="shared" ca="1" si="325"/>
        <v>0.01</v>
      </c>
      <c r="B718" s="304">
        <f t="shared" ca="1" si="326"/>
        <v>7.1399999999998922</v>
      </c>
      <c r="D718" s="306">
        <f t="shared" ca="1" si="327"/>
        <v>-19.184994739970385</v>
      </c>
      <c r="E718" s="307">
        <f t="shared" ca="1" si="328"/>
        <v>-56.088580903106497</v>
      </c>
      <c r="F718" s="304">
        <f t="shared" ca="1" si="329"/>
        <v>59.278941715393451</v>
      </c>
      <c r="G718" s="306">
        <f t="shared" ca="1" si="330"/>
        <v>170.04873723200581</v>
      </c>
      <c r="H718" s="307">
        <f t="shared" ca="1" si="331"/>
        <v>410.09822009941473</v>
      </c>
      <c r="I718" s="304">
        <f t="shared" ca="1" si="332"/>
        <v>443.95621761938168</v>
      </c>
      <c r="J718" s="306">
        <f t="shared" ca="1" si="333"/>
        <v>663.22581792728249</v>
      </c>
      <c r="K718" s="307">
        <f t="shared" ca="1" si="334"/>
        <v>1716.8384889048079</v>
      </c>
      <c r="L718" s="304">
        <f t="shared" ca="1" si="319"/>
        <v>1840.4898485322481</v>
      </c>
      <c r="M718" s="306">
        <f t="shared" ca="1" si="335"/>
        <v>1.1777216373653083</v>
      </c>
      <c r="N718" s="304">
        <f t="shared" ca="1" si="336"/>
        <v>67.478479262269005</v>
      </c>
      <c r="P718" s="310">
        <f t="shared" ca="1" si="337"/>
        <v>20</v>
      </c>
      <c r="Q718" s="304">
        <f t="shared" ca="1" si="338"/>
        <v>431.80875757605924</v>
      </c>
      <c r="R718" s="306">
        <f t="shared" ca="1" si="339"/>
        <v>0.25967861882531007</v>
      </c>
      <c r="S718" s="307">
        <f t="shared" ca="1" si="340"/>
        <v>15.106235265215997</v>
      </c>
      <c r="T718" s="304">
        <f t="shared" ca="1" si="320"/>
        <v>148.19216795176894</v>
      </c>
      <c r="U718" s="311">
        <f t="shared" ca="1" si="321"/>
        <v>0</v>
      </c>
      <c r="V718" s="306">
        <f t="shared" ca="1" si="322"/>
        <v>1.0313136906430576</v>
      </c>
      <c r="W718" s="304">
        <f t="shared" ca="1" si="323"/>
        <v>1184.9437277020731</v>
      </c>
      <c r="Y718" s="314" t="str">
        <f t="shared" ca="1" si="341"/>
        <v/>
      </c>
      <c r="Z718" s="315" t="str">
        <f t="shared" ca="1" si="342"/>
        <v/>
      </c>
      <c r="AA718" s="316" t="str">
        <f t="shared" ca="1" si="343"/>
        <v/>
      </c>
      <c r="AC718" s="310" t="e">
        <f t="shared" ca="1" si="344"/>
        <v>#N/A</v>
      </c>
      <c r="AD718" s="323" t="e">
        <f t="shared" ca="1" si="345"/>
        <v>#N/A</v>
      </c>
      <c r="AE718" s="324">
        <f t="shared" ca="1" si="324"/>
        <v>1716.8384889048079</v>
      </c>
      <c r="AG718" s="306">
        <f t="shared" ca="1" si="346"/>
        <v>-59.159780874449901</v>
      </c>
      <c r="AH718" s="304">
        <f t="shared" ca="1" si="347"/>
        <v>-50.097615448023717</v>
      </c>
    </row>
    <row r="719" spans="1:34" x14ac:dyDescent="0.2">
      <c r="A719" s="347">
        <f t="shared" ca="1" si="325"/>
        <v>0.01</v>
      </c>
      <c r="B719" s="304">
        <f t="shared" ca="1" si="326"/>
        <v>7.149999999999892</v>
      </c>
      <c r="D719" s="306">
        <f t="shared" ca="1" si="327"/>
        <v>-19.810779190290461</v>
      </c>
      <c r="E719" s="307">
        <f t="shared" ca="1" si="328"/>
        <v>-57.586686948496279</v>
      </c>
      <c r="F719" s="304">
        <f t="shared" ca="1" si="329"/>
        <v>60.899043390110464</v>
      </c>
      <c r="G719" s="306">
        <f t="shared" ca="1" si="330"/>
        <v>169.85062944010289</v>
      </c>
      <c r="H719" s="307">
        <f t="shared" ca="1" si="331"/>
        <v>409.52235322992976</v>
      </c>
      <c r="I719" s="304">
        <f t="shared" ca="1" si="332"/>
        <v>443.34838909843637</v>
      </c>
      <c r="J719" s="306">
        <f t="shared" ca="1" si="333"/>
        <v>664.925314760643</v>
      </c>
      <c r="K719" s="307">
        <f t="shared" ca="1" si="334"/>
        <v>1720.9365917714547</v>
      </c>
      <c r="L719" s="304">
        <f t="shared" ca="1" si="319"/>
        <v>1844.9250464741083</v>
      </c>
      <c r="M719" s="306">
        <f t="shared" ca="1" si="335"/>
        <v>1.1776368839629423</v>
      </c>
      <c r="N719" s="304">
        <f t="shared" ca="1" si="336"/>
        <v>67.473623250014057</v>
      </c>
      <c r="P719" s="310">
        <f t="shared" ca="1" si="337"/>
        <v>20</v>
      </c>
      <c r="Q719" s="304">
        <f t="shared" ca="1" si="338"/>
        <v>403.7572424245447</v>
      </c>
      <c r="R719" s="306">
        <f t="shared" ca="1" si="339"/>
        <v>0.24280916311673875</v>
      </c>
      <c r="S719" s="307">
        <f t="shared" ca="1" si="340"/>
        <v>15.10380717358483</v>
      </c>
      <c r="T719" s="304">
        <f t="shared" ca="1" si="320"/>
        <v>148.1683483728672</v>
      </c>
      <c r="U719" s="311">
        <f t="shared" ca="1" si="321"/>
        <v>0</v>
      </c>
      <c r="V719" s="306">
        <f t="shared" ca="1" si="322"/>
        <v>1.0308879905097039</v>
      </c>
      <c r="W719" s="304">
        <f t="shared" ca="1" si="323"/>
        <v>1181.213516581096</v>
      </c>
      <c r="Y719" s="314" t="str">
        <f t="shared" ca="1" si="341"/>
        <v/>
      </c>
      <c r="Z719" s="315" t="str">
        <f t="shared" ca="1" si="342"/>
        <v/>
      </c>
      <c r="AA719" s="316" t="str">
        <f t="shared" ca="1" si="343"/>
        <v/>
      </c>
      <c r="AC719" s="310" t="e">
        <f t="shared" ca="1" si="344"/>
        <v>#N/A</v>
      </c>
      <c r="AD719" s="323" t="e">
        <f t="shared" ca="1" si="345"/>
        <v>#N/A</v>
      </c>
      <c r="AE719" s="324">
        <f t="shared" ca="1" si="324"/>
        <v>1720.9365917714547</v>
      </c>
      <c r="AG719" s="306">
        <f t="shared" ca="1" si="346"/>
        <v>-60.783011326190369</v>
      </c>
      <c r="AH719" s="304">
        <f t="shared" ca="1" si="347"/>
        <v>-51.721163829723125</v>
      </c>
    </row>
    <row r="720" spans="1:34" x14ac:dyDescent="0.2">
      <c r="A720" s="347">
        <f t="shared" ca="1" si="325"/>
        <v>0.01</v>
      </c>
      <c r="B720" s="304">
        <f t="shared" ca="1" si="326"/>
        <v>7.1599999999998918</v>
      </c>
      <c r="D720" s="306">
        <f t="shared" ca="1" si="327"/>
        <v>-20.434796131202333</v>
      </c>
      <c r="E720" s="307">
        <f t="shared" ca="1" si="328"/>
        <v>-59.079795625779298</v>
      </c>
      <c r="F720" s="304">
        <f t="shared" ca="1" si="329"/>
        <v>62.514023579574946</v>
      </c>
      <c r="G720" s="306">
        <f t="shared" ca="1" si="330"/>
        <v>169.64628147879088</v>
      </c>
      <c r="H720" s="307">
        <f t="shared" ca="1" si="331"/>
        <v>408.93155527367196</v>
      </c>
      <c r="I720" s="304">
        <f t="shared" ca="1" si="332"/>
        <v>442.72438121039295</v>
      </c>
      <c r="J720" s="306">
        <f t="shared" ca="1" si="333"/>
        <v>666.62279931523744</v>
      </c>
      <c r="K720" s="307">
        <f t="shared" ca="1" si="334"/>
        <v>1725.0288613139726</v>
      </c>
      <c r="L720" s="304">
        <f t="shared" ca="1" si="319"/>
        <v>1849.3540842502455</v>
      </c>
      <c r="M720" s="306">
        <f t="shared" ca="1" si="335"/>
        <v>1.17755199375564</v>
      </c>
      <c r="N720" s="304">
        <f t="shared" ca="1" si="336"/>
        <v>67.468759399413642</v>
      </c>
      <c r="P720" s="310">
        <f t="shared" ca="1" si="337"/>
        <v>20</v>
      </c>
      <c r="Q720" s="304">
        <f t="shared" ca="1" si="338"/>
        <v>375.70572727303011</v>
      </c>
      <c r="R720" s="306">
        <f t="shared" ca="1" si="339"/>
        <v>0.22593970740816735</v>
      </c>
      <c r="S720" s="307">
        <f t="shared" ca="1" si="340"/>
        <v>15.101547776510747</v>
      </c>
      <c r="T720" s="304">
        <f t="shared" ca="1" si="320"/>
        <v>148.14618368757044</v>
      </c>
      <c r="U720" s="311">
        <f t="shared" ca="1" si="321"/>
        <v>0</v>
      </c>
      <c r="V720" s="306">
        <f t="shared" ca="1" si="322"/>
        <v>1.0304630565879207</v>
      </c>
      <c r="W720" s="304">
        <f t="shared" ca="1" si="323"/>
        <v>1177.405238290082</v>
      </c>
      <c r="Y720" s="314" t="str">
        <f t="shared" ca="1" si="341"/>
        <v/>
      </c>
      <c r="Z720" s="315" t="str">
        <f t="shared" ca="1" si="342"/>
        <v/>
      </c>
      <c r="AA720" s="316" t="str">
        <f t="shared" ca="1" si="343"/>
        <v/>
      </c>
      <c r="AC720" s="310" t="e">
        <f t="shared" ca="1" si="344"/>
        <v>#N/A</v>
      </c>
      <c r="AD720" s="323" t="e">
        <f t="shared" ca="1" si="345"/>
        <v>#N/A</v>
      </c>
      <c r="AE720" s="324">
        <f t="shared" ca="1" si="324"/>
        <v>1725.0288613139726</v>
      </c>
      <c r="AG720" s="306">
        <f t="shared" ca="1" si="346"/>
        <v>-62.400948325617627</v>
      </c>
      <c r="AH720" s="304">
        <f t="shared" ca="1" si="347"/>
        <v>-53.33941932501574</v>
      </c>
    </row>
    <row r="721" spans="1:34" x14ac:dyDescent="0.2">
      <c r="A721" s="347">
        <f t="shared" ca="1" si="325"/>
        <v>0.01</v>
      </c>
      <c r="B721" s="304">
        <f t="shared" ca="1" si="326"/>
        <v>7.1699999999998916</v>
      </c>
      <c r="D721" s="306">
        <f t="shared" ca="1" si="327"/>
        <v>-21.057042391831875</v>
      </c>
      <c r="E721" s="307">
        <f t="shared" ca="1" si="328"/>
        <v>-60.567900613530291</v>
      </c>
      <c r="F721" s="304">
        <f t="shared" ca="1" si="329"/>
        <v>64.123861541721638</v>
      </c>
      <c r="G721" s="306">
        <f t="shared" ca="1" si="330"/>
        <v>169.43571105487257</v>
      </c>
      <c r="H721" s="307">
        <f t="shared" ca="1" si="331"/>
        <v>408.32587626753667</v>
      </c>
      <c r="I721" s="304">
        <f t="shared" ca="1" si="332"/>
        <v>442.0842469601489</v>
      </c>
      <c r="J721" s="306">
        <f t="shared" ca="1" si="333"/>
        <v>668.31820927790579</v>
      </c>
      <c r="K721" s="307">
        <f t="shared" ca="1" si="334"/>
        <v>1729.1151484716786</v>
      </c>
      <c r="L721" s="304">
        <f t="shared" ca="1" si="319"/>
        <v>1853.776800352907</v>
      </c>
      <c r="M721" s="306">
        <f t="shared" ca="1" si="335"/>
        <v>1.1774669632281494</v>
      </c>
      <c r="N721" s="304">
        <f t="shared" ca="1" si="336"/>
        <v>67.463887509058651</v>
      </c>
      <c r="P721" s="310">
        <f t="shared" ca="1" si="337"/>
        <v>20</v>
      </c>
      <c r="Q721" s="304">
        <f t="shared" ca="1" si="338"/>
        <v>347.65421212151557</v>
      </c>
      <c r="R721" s="306">
        <f t="shared" ca="1" si="339"/>
        <v>0.209070251699596</v>
      </c>
      <c r="S721" s="307">
        <f t="shared" ca="1" si="340"/>
        <v>15.099457073993751</v>
      </c>
      <c r="T721" s="304">
        <f t="shared" ca="1" si="320"/>
        <v>148.12567389587869</v>
      </c>
      <c r="U721" s="311">
        <f t="shared" ca="1" si="321"/>
        <v>0</v>
      </c>
      <c r="V721" s="306">
        <f t="shared" ca="1" si="322"/>
        <v>1.0300389035720316</v>
      </c>
      <c r="W721" s="304">
        <f t="shared" ca="1" si="323"/>
        <v>1173.5196482720421</v>
      </c>
      <c r="Y721" s="314" t="str">
        <f t="shared" ca="1" si="341"/>
        <v/>
      </c>
      <c r="Z721" s="315" t="str">
        <f t="shared" ca="1" si="342"/>
        <v/>
      </c>
      <c r="AA721" s="316" t="str">
        <f t="shared" ca="1" si="343"/>
        <v/>
      </c>
      <c r="AC721" s="310" t="e">
        <f t="shared" ca="1" si="344"/>
        <v>#N/A</v>
      </c>
      <c r="AD721" s="323" t="e">
        <f t="shared" ca="1" si="345"/>
        <v>#N/A</v>
      </c>
      <c r="AE721" s="324">
        <f t="shared" ca="1" si="324"/>
        <v>1729.1151484716786</v>
      </c>
      <c r="AG721" s="306">
        <f t="shared" ca="1" si="346"/>
        <v>-64.013584842077321</v>
      </c>
      <c r="AH721" s="304">
        <f t="shared" ca="1" si="347"/>
        <v>-54.952374916689664</v>
      </c>
    </row>
    <row r="722" spans="1:34" x14ac:dyDescent="0.2">
      <c r="A722" s="347">
        <f t="shared" ca="1" si="325"/>
        <v>0.01</v>
      </c>
      <c r="B722" s="304">
        <f t="shared" ca="1" si="326"/>
        <v>7.1799999999998914</v>
      </c>
      <c r="D722" s="306">
        <f t="shared" ca="1" si="327"/>
        <v>-21.677515117898597</v>
      </c>
      <c r="E722" s="307">
        <f t="shared" ca="1" si="328"/>
        <v>-62.050996308931126</v>
      </c>
      <c r="F722" s="304">
        <f t="shared" ca="1" si="329"/>
        <v>65.72853873788543</v>
      </c>
      <c r="G722" s="306">
        <f t="shared" ca="1" si="330"/>
        <v>169.21893590369359</v>
      </c>
      <c r="H722" s="307">
        <f t="shared" ca="1" si="331"/>
        <v>407.70536630444735</v>
      </c>
      <c r="I722" s="304">
        <f t="shared" ca="1" si="332"/>
        <v>441.42803941505798</v>
      </c>
      <c r="J722" s="306">
        <f t="shared" ca="1" si="333"/>
        <v>670.01148251269865</v>
      </c>
      <c r="K722" s="307">
        <f t="shared" ca="1" si="334"/>
        <v>1733.1953046845385</v>
      </c>
      <c r="L722" s="304">
        <f t="shared" ca="1" si="319"/>
        <v>1858.1930338044524</v>
      </c>
      <c r="M722" s="306">
        <f t="shared" ca="1" si="335"/>
        <v>1.1773817888440685</v>
      </c>
      <c r="N722" s="304">
        <f t="shared" ca="1" si="336"/>
        <v>67.459007376328202</v>
      </c>
      <c r="P722" s="310">
        <f t="shared" ca="1" si="337"/>
        <v>20</v>
      </c>
      <c r="Q722" s="304">
        <f t="shared" ca="1" si="338"/>
        <v>319.60269697000103</v>
      </c>
      <c r="R722" s="306">
        <f t="shared" ca="1" si="339"/>
        <v>0.19220079599102466</v>
      </c>
      <c r="S722" s="307">
        <f t="shared" ca="1" si="340"/>
        <v>15.09753506603384</v>
      </c>
      <c r="T722" s="304">
        <f t="shared" ca="1" si="320"/>
        <v>148.10681899779198</v>
      </c>
      <c r="U722" s="311">
        <f t="shared" ca="1" si="321"/>
        <v>0</v>
      </c>
      <c r="V722" s="306">
        <f t="shared" ca="1" si="322"/>
        <v>1.0296155460830083</v>
      </c>
      <c r="W722" s="304">
        <f t="shared" ca="1" si="323"/>
        <v>1169.5575083508154</v>
      </c>
      <c r="Y722" s="314" t="str">
        <f t="shared" ca="1" si="341"/>
        <v/>
      </c>
      <c r="Z722" s="315" t="str">
        <f t="shared" ca="1" si="342"/>
        <v/>
      </c>
      <c r="AA722" s="316" t="str">
        <f t="shared" ca="1" si="343"/>
        <v/>
      </c>
      <c r="AC722" s="310" t="e">
        <f t="shared" ca="1" si="344"/>
        <v>#N/A</v>
      </c>
      <c r="AD722" s="323" t="e">
        <f t="shared" ca="1" si="345"/>
        <v>#N/A</v>
      </c>
      <c r="AE722" s="324">
        <f t="shared" ca="1" si="324"/>
        <v>1733.1953046845385</v>
      </c>
      <c r="AG722" s="306">
        <f t="shared" ca="1" si="346"/>
        <v>-65.620914629959543</v>
      </c>
      <c r="AH722" s="304">
        <f t="shared" ca="1" si="347"/>
        <v>-56.560024372665168</v>
      </c>
    </row>
    <row r="723" spans="1:34" x14ac:dyDescent="0.2">
      <c r="A723" s="347">
        <f t="shared" ca="1" si="325"/>
        <v>0.01</v>
      </c>
      <c r="B723" s="304">
        <f t="shared" ca="1" si="326"/>
        <v>7.1899999999998911</v>
      </c>
      <c r="D723" s="306">
        <f t="shared" ca="1" si="327"/>
        <v>-22.296211768208885</v>
      </c>
      <c r="E723" s="307">
        <f t="shared" ca="1" si="328"/>
        <v>-63.529077818410478</v>
      </c>
      <c r="F723" s="304">
        <f t="shared" ca="1" si="329"/>
        <v>67.328038644167194</v>
      </c>
      <c r="G723" s="306">
        <f t="shared" ca="1" si="330"/>
        <v>168.99597378601149</v>
      </c>
      <c r="H723" s="307">
        <f t="shared" ca="1" si="331"/>
        <v>407.07007552626322</v>
      </c>
      <c r="I723" s="304">
        <f t="shared" ca="1" si="332"/>
        <v>440.75581169717992</v>
      </c>
      <c r="J723" s="306">
        <f t="shared" ca="1" si="333"/>
        <v>671.70255706114722</v>
      </c>
      <c r="K723" s="307">
        <f t="shared" ca="1" si="334"/>
        <v>1737.2691818936921</v>
      </c>
      <c r="L723" s="304">
        <f t="shared" ca="1" si="319"/>
        <v>1862.6026241579448</v>
      </c>
      <c r="M723" s="306">
        <f t="shared" ca="1" si="335"/>
        <v>1.1772964670450217</v>
      </c>
      <c r="N723" s="304">
        <f t="shared" ca="1" si="336"/>
        <v>67.454118797342346</v>
      </c>
      <c r="P723" s="310">
        <f t="shared" ca="1" si="337"/>
        <v>20</v>
      </c>
      <c r="Q723" s="304">
        <f t="shared" ca="1" si="338"/>
        <v>291.5511818184865</v>
      </c>
      <c r="R723" s="306">
        <f t="shared" ca="1" si="339"/>
        <v>0.17533134028245331</v>
      </c>
      <c r="S723" s="307">
        <f t="shared" ca="1" si="340"/>
        <v>15.095781752631016</v>
      </c>
      <c r="T723" s="304">
        <f t="shared" ca="1" si="320"/>
        <v>148.08961899331027</v>
      </c>
      <c r="U723" s="311">
        <f t="shared" ca="1" si="321"/>
        <v>0</v>
      </c>
      <c r="V723" s="306">
        <f t="shared" ca="1" si="322"/>
        <v>1.0291929986686239</v>
      </c>
      <c r="W723" s="304">
        <f t="shared" ca="1" si="323"/>
        <v>1165.5195865634466</v>
      </c>
      <c r="Y723" s="314" t="str">
        <f t="shared" ca="1" si="341"/>
        <v/>
      </c>
      <c r="Z723" s="315" t="str">
        <f t="shared" ca="1" si="342"/>
        <v/>
      </c>
      <c r="AA723" s="316" t="str">
        <f t="shared" ca="1" si="343"/>
        <v/>
      </c>
      <c r="AC723" s="310" t="e">
        <f t="shared" ca="1" si="344"/>
        <v>#N/A</v>
      </c>
      <c r="AD723" s="323" t="e">
        <f t="shared" ca="1" si="345"/>
        <v>#N/A</v>
      </c>
      <c r="AE723" s="324">
        <f t="shared" ca="1" si="324"/>
        <v>1737.2691818936921</v>
      </c>
      <c r="AG723" s="306">
        <f t="shared" ca="1" si="346"/>
        <v>-67.222932218714561</v>
      </c>
      <c r="AH723" s="304">
        <f t="shared" ca="1" si="347"/>
        <v>-58.162362236013564</v>
      </c>
    </row>
    <row r="724" spans="1:34" x14ac:dyDescent="0.2">
      <c r="A724" s="347">
        <f t="shared" ca="1" si="325"/>
        <v>0.01</v>
      </c>
      <c r="B724" s="304">
        <f t="shared" ca="1" si="326"/>
        <v>7.1999999999998909</v>
      </c>
      <c r="D724" s="306">
        <f t="shared" ca="1" si="327"/>
        <v>-22.913130111144095</v>
      </c>
      <c r="E724" s="307">
        <f t="shared" ca="1" si="328"/>
        <v>-65.00214094826309</v>
      </c>
      <c r="F724" s="304">
        <f t="shared" ca="1" si="329"/>
        <v>68.9223465891004</v>
      </c>
      <c r="G724" s="306">
        <f t="shared" ca="1" si="330"/>
        <v>168.76684248490005</v>
      </c>
      <c r="H724" s="307">
        <f t="shared" ca="1" si="331"/>
        <v>406.42005411678059</v>
      </c>
      <c r="I724" s="304">
        <f t="shared" ca="1" si="332"/>
        <v>440.06761697563013</v>
      </c>
      <c r="J724" s="306">
        <f t="shared" ca="1" si="333"/>
        <v>673.39137114250173</v>
      </c>
      <c r="K724" s="307">
        <f t="shared" ca="1" si="334"/>
        <v>1741.3366325419074</v>
      </c>
      <c r="L724" s="304">
        <f t="shared" ca="1" si="319"/>
        <v>1867.0054114976658</v>
      </c>
      <c r="M724" s="306">
        <f t="shared" ca="1" si="335"/>
        <v>1.1772109942498239</v>
      </c>
      <c r="N724" s="304">
        <f t="shared" ca="1" si="336"/>
        <v>67.449221566914332</v>
      </c>
      <c r="P724" s="310">
        <f t="shared" ca="1" si="337"/>
        <v>20</v>
      </c>
      <c r="Q724" s="304">
        <f t="shared" ca="1" si="338"/>
        <v>263.49966666697196</v>
      </c>
      <c r="R724" s="306">
        <f t="shared" ca="1" si="339"/>
        <v>0.15846188457388197</v>
      </c>
      <c r="S724" s="307">
        <f t="shared" ca="1" si="340"/>
        <v>15.094197133785277</v>
      </c>
      <c r="T724" s="304">
        <f t="shared" ca="1" si="320"/>
        <v>148.07407388243357</v>
      </c>
      <c r="U724" s="311">
        <f t="shared" ca="1" si="321"/>
        <v>0</v>
      </c>
      <c r="V724" s="306">
        <f t="shared" ca="1" si="322"/>
        <v>1.028771275803622</v>
      </c>
      <c r="W724" s="304">
        <f t="shared" ca="1" si="323"/>
        <v>1161.40665699437</v>
      </c>
      <c r="Y724" s="314" t="str">
        <f t="shared" ca="1" si="341"/>
        <v/>
      </c>
      <c r="Z724" s="315" t="str">
        <f t="shared" ca="1" si="342"/>
        <v/>
      </c>
      <c r="AA724" s="316" t="str">
        <f t="shared" ca="1" si="343"/>
        <v/>
      </c>
      <c r="AC724" s="310" t="e">
        <f t="shared" ca="1" si="344"/>
        <v>#N/A</v>
      </c>
      <c r="AD724" s="323" t="e">
        <f t="shared" ca="1" si="345"/>
        <v>#N/A</v>
      </c>
      <c r="AE724" s="324">
        <f t="shared" ca="1" si="324"/>
        <v>1741.3366325419074</v>
      </c>
      <c r="AG724" s="306">
        <f t="shared" ca="1" si="346"/>
        <v>-68.819632902847829</v>
      </c>
      <c r="AH724" s="304">
        <f t="shared" ca="1" si="347"/>
        <v>-59.759383814955441</v>
      </c>
    </row>
    <row r="725" spans="1:34" x14ac:dyDescent="0.2">
      <c r="A725" s="347">
        <f t="shared" ca="1" si="325"/>
        <v>0.01</v>
      </c>
      <c r="B725" s="304">
        <f t="shared" ca="1" si="326"/>
        <v>7.2099999999998907</v>
      </c>
      <c r="D725" s="306">
        <f t="shared" ca="1" si="327"/>
        <v>-23.52826822114536</v>
      </c>
      <c r="E725" s="307">
        <f t="shared" ca="1" si="328"/>
        <v>-66.470182195253159</v>
      </c>
      <c r="F725" s="304">
        <f t="shared" ca="1" si="329"/>
        <v>70.511449613210402</v>
      </c>
      <c r="G725" s="306">
        <f t="shared" ca="1" si="330"/>
        <v>168.53155980268861</v>
      </c>
      <c r="H725" s="307">
        <f t="shared" ca="1" si="331"/>
        <v>405.75535229482807</v>
      </c>
      <c r="I725" s="304">
        <f t="shared" ca="1" si="332"/>
        <v>439.36350845902899</v>
      </c>
      <c r="J725" s="306">
        <f t="shared" ca="1" si="333"/>
        <v>675.07786315393969</v>
      </c>
      <c r="K725" s="307">
        <f t="shared" ca="1" si="334"/>
        <v>1745.3975095739654</v>
      </c>
      <c r="L725" s="304">
        <f t="shared" ca="1" si="319"/>
        <v>1871.4012364395537</v>
      </c>
      <c r="M725" s="306">
        <f t="shared" ca="1" si="335"/>
        <v>1.1771253668536346</v>
      </c>
      <c r="N725" s="304">
        <f t="shared" ca="1" si="336"/>
        <v>67.444315478501991</v>
      </c>
      <c r="P725" s="310">
        <f t="shared" ca="1" si="337"/>
        <v>20</v>
      </c>
      <c r="Q725" s="304">
        <f t="shared" ca="1" si="338"/>
        <v>235.44815151545743</v>
      </c>
      <c r="R725" s="306">
        <f t="shared" ca="1" si="339"/>
        <v>0.14159242886531062</v>
      </c>
      <c r="S725" s="307">
        <f t="shared" ca="1" si="340"/>
        <v>15.092781209496625</v>
      </c>
      <c r="T725" s="304">
        <f t="shared" ca="1" si="320"/>
        <v>148.0601836651619</v>
      </c>
      <c r="U725" s="311">
        <f t="shared" ca="1" si="321"/>
        <v>0</v>
      </c>
      <c r="V725" s="306">
        <f t="shared" ca="1" si="322"/>
        <v>1.0283503918898931</v>
      </c>
      <c r="W725" s="304">
        <f t="shared" ca="1" si="323"/>
        <v>1157.2194996114106</v>
      </c>
      <c r="Y725" s="314" t="str">
        <f t="shared" ca="1" si="341"/>
        <v/>
      </c>
      <c r="Z725" s="315" t="str">
        <f t="shared" ca="1" si="342"/>
        <v/>
      </c>
      <c r="AA725" s="316" t="str">
        <f t="shared" ca="1" si="343"/>
        <v/>
      </c>
      <c r="AC725" s="310" t="e">
        <f t="shared" ca="1" si="344"/>
        <v>#N/A</v>
      </c>
      <c r="AD725" s="323" t="e">
        <f t="shared" ca="1" si="345"/>
        <v>#N/A</v>
      </c>
      <c r="AE725" s="324">
        <f t="shared" ca="1" si="324"/>
        <v>1745.3975095739654</v>
      </c>
      <c r="AG725" s="306">
        <f t="shared" ca="1" si="346"/>
        <v>-70.411012731899064</v>
      </c>
      <c r="AH725" s="304">
        <f t="shared" ca="1" si="347"/>
        <v>-61.35108517284305</v>
      </c>
    </row>
    <row r="726" spans="1:34" x14ac:dyDescent="0.2">
      <c r="A726" s="347">
        <f t="shared" ca="1" si="325"/>
        <v>0.01</v>
      </c>
      <c r="B726" s="304">
        <f t="shared" ca="1" si="326"/>
        <v>7.2199999999998905</v>
      </c>
      <c r="D726" s="306">
        <f t="shared" ca="1" si="327"/>
        <v>-24.141624475196327</v>
      </c>
      <c r="E726" s="307">
        <f t="shared" ca="1" si="328"/>
        <v>-67.933198737204449</v>
      </c>
      <c r="F726" s="304">
        <f t="shared" ca="1" si="329"/>
        <v>72.095336346881098</v>
      </c>
      <c r="G726" s="306">
        <f t="shared" ca="1" si="330"/>
        <v>168.29014355793663</v>
      </c>
      <c r="H726" s="307">
        <f t="shared" ca="1" si="331"/>
        <v>405.07602030745602</v>
      </c>
      <c r="I726" s="304">
        <f t="shared" ca="1" si="332"/>
        <v>438.64353938805192</v>
      </c>
      <c r="J726" s="306">
        <f t="shared" ca="1" si="333"/>
        <v>676.76197167074281</v>
      </c>
      <c r="K726" s="307">
        <f t="shared" ca="1" si="334"/>
        <v>1749.4516664369769</v>
      </c>
      <c r="L726" s="304">
        <f t="shared" ca="1" si="319"/>
        <v>1875.7899401315667</v>
      </c>
      <c r="M726" s="306">
        <f t="shared" ca="1" si="335"/>
        <v>1.1770395812270991</v>
      </c>
      <c r="N726" s="304">
        <f t="shared" ca="1" si="336"/>
        <v>67.439400324158626</v>
      </c>
      <c r="P726" s="310">
        <f t="shared" ca="1" si="337"/>
        <v>20</v>
      </c>
      <c r="Q726" s="304">
        <f t="shared" ca="1" si="338"/>
        <v>207.39663636394283</v>
      </c>
      <c r="R726" s="306">
        <f t="shared" ca="1" si="339"/>
        <v>0.12472297315673923</v>
      </c>
      <c r="S726" s="307">
        <f t="shared" ca="1" si="340"/>
        <v>15.091533979765057</v>
      </c>
      <c r="T726" s="304">
        <f t="shared" ca="1" si="320"/>
        <v>148.04794834149521</v>
      </c>
      <c r="U726" s="311">
        <f t="shared" ca="1" si="321"/>
        <v>0</v>
      </c>
      <c r="V726" s="306">
        <f t="shared" ca="1" si="322"/>
        <v>1.0279303612566544</v>
      </c>
      <c r="W726" s="304">
        <f t="shared" ca="1" si="323"/>
        <v>1152.9589001036313</v>
      </c>
      <c r="Y726" s="314" t="str">
        <f t="shared" ca="1" si="341"/>
        <v/>
      </c>
      <c r="Z726" s="315" t="str">
        <f t="shared" ca="1" si="342"/>
        <v/>
      </c>
      <c r="AA726" s="316" t="str">
        <f t="shared" ca="1" si="343"/>
        <v/>
      </c>
      <c r="AC726" s="310" t="e">
        <f t="shared" ca="1" si="344"/>
        <v>#N/A</v>
      </c>
      <c r="AD726" s="323" t="e">
        <f t="shared" ca="1" si="345"/>
        <v>#N/A</v>
      </c>
      <c r="AE726" s="324">
        <f t="shared" ca="1" si="324"/>
        <v>1749.4516664369769</v>
      </c>
      <c r="AG726" s="306">
        <f t="shared" ca="1" si="346"/>
        <v>-71.997068500408602</v>
      </c>
      <c r="AH726" s="304">
        <f t="shared" ca="1" si="347"/>
        <v>-62.937463118129919</v>
      </c>
    </row>
    <row r="727" spans="1:34" x14ac:dyDescent="0.2">
      <c r="A727" s="347">
        <f t="shared" ca="1" si="325"/>
        <v>0.01</v>
      </c>
      <c r="B727" s="304">
        <f t="shared" ca="1" si="326"/>
        <v>7.2299999999998903</v>
      </c>
      <c r="D727" s="306">
        <f t="shared" ca="1" si="327"/>
        <v>-24.753197549305472</v>
      </c>
      <c r="E727" s="307">
        <f t="shared" ca="1" si="328"/>
        <v>-69.391188423581085</v>
      </c>
      <c r="F727" s="304">
        <f t="shared" ca="1" si="329"/>
        <v>73.673996903601449</v>
      </c>
      <c r="G727" s="306">
        <f t="shared" ca="1" si="330"/>
        <v>168.04261158244358</v>
      </c>
      <c r="H727" s="307">
        <f t="shared" ca="1" si="331"/>
        <v>404.38210842322019</v>
      </c>
      <c r="I727" s="304">
        <f t="shared" ca="1" si="332"/>
        <v>437.9077630280799</v>
      </c>
      <c r="J727" s="306">
        <f t="shared" ca="1" si="333"/>
        <v>678.44363544644466</v>
      </c>
      <c r="K727" s="307">
        <f t="shared" ca="1" si="334"/>
        <v>1753.4989570806304</v>
      </c>
      <c r="L727" s="304">
        <f t="shared" ca="1" si="319"/>
        <v>1880.1713642539733</v>
      </c>
      <c r="M727" s="306">
        <f t="shared" ca="1" si="335"/>
        <v>1.1769536337154749</v>
      </c>
      <c r="N727" s="304">
        <f t="shared" ca="1" si="336"/>
        <v>67.434475894482901</v>
      </c>
      <c r="P727" s="310">
        <f t="shared" ca="1" si="337"/>
        <v>20</v>
      </c>
      <c r="Q727" s="304">
        <f t="shared" ca="1" si="338"/>
        <v>179.3451212124283</v>
      </c>
      <c r="R727" s="306">
        <f t="shared" ca="1" si="339"/>
        <v>0.10785351744816789</v>
      </c>
      <c r="S727" s="307">
        <f t="shared" ca="1" si="340"/>
        <v>15.090455444590575</v>
      </c>
      <c r="T727" s="304">
        <f t="shared" ca="1" si="320"/>
        <v>148.03736791143353</v>
      </c>
      <c r="U727" s="311">
        <f t="shared" ca="1" si="321"/>
        <v>0</v>
      </c>
      <c r="V727" s="306">
        <f t="shared" ca="1" si="322"/>
        <v>1.0275111981606435</v>
      </c>
      <c r="W727" s="304">
        <f t="shared" ca="1" si="323"/>
        <v>1148.6256497210552</v>
      </c>
      <c r="Y727" s="314" t="str">
        <f t="shared" ca="1" si="341"/>
        <v/>
      </c>
      <c r="Z727" s="315" t="str">
        <f t="shared" ca="1" si="342"/>
        <v/>
      </c>
      <c r="AA727" s="316" t="str">
        <f t="shared" ca="1" si="343"/>
        <v/>
      </c>
      <c r="AC727" s="310" t="e">
        <f t="shared" ca="1" si="344"/>
        <v>#N/A</v>
      </c>
      <c r="AD727" s="323" t="e">
        <f t="shared" ca="1" si="345"/>
        <v>#N/A</v>
      </c>
      <c r="AE727" s="324">
        <f t="shared" ca="1" si="324"/>
        <v>1753.4989570806304</v>
      </c>
      <c r="AG727" s="306">
        <f t="shared" ca="1" si="346"/>
        <v>-73.577797737874846</v>
      </c>
      <c r="AH727" s="304">
        <f t="shared" ca="1" si="347"/>
        <v>-64.518515194331741</v>
      </c>
    </row>
    <row r="728" spans="1:34" x14ac:dyDescent="0.2">
      <c r="A728" s="347">
        <f t="shared" ca="1" si="325"/>
        <v>0.01</v>
      </c>
      <c r="B728" s="304">
        <f t="shared" ca="1" si="326"/>
        <v>7.2399999999998901</v>
      </c>
      <c r="D728" s="306">
        <f t="shared" ca="1" si="327"/>
        <v>-25.362986414990072</v>
      </c>
      <c r="E728" s="307">
        <f t="shared" ca="1" si="328"/>
        <v>-70.844149766062785</v>
      </c>
      <c r="F728" s="304">
        <f t="shared" ca="1" si="329"/>
        <v>75.247422786187869</v>
      </c>
      <c r="G728" s="306">
        <f t="shared" ca="1" si="330"/>
        <v>167.78898171829368</v>
      </c>
      <c r="H728" s="307">
        <f t="shared" ca="1" si="331"/>
        <v>403.67366692555959</v>
      </c>
      <c r="I728" s="304">
        <f t="shared" ca="1" si="332"/>
        <v>437.15623266195064</v>
      </c>
      <c r="J728" s="306">
        <f t="shared" ca="1" si="333"/>
        <v>680.12279341294834</v>
      </c>
      <c r="K728" s="307">
        <f t="shared" ca="1" si="334"/>
        <v>1757.5392359573743</v>
      </c>
      <c r="L728" s="304">
        <f t="shared" ca="1" si="319"/>
        <v>1884.5453510195671</v>
      </c>
      <c r="M728" s="306">
        <f t="shared" ca="1" si="335"/>
        <v>1.1768675206377475</v>
      </c>
      <c r="N728" s="304">
        <f t="shared" ca="1" si="336"/>
        <v>67.429541978568238</v>
      </c>
      <c r="P728" s="310">
        <f t="shared" ca="1" si="337"/>
        <v>20</v>
      </c>
      <c r="Q728" s="304">
        <f t="shared" ca="1" si="338"/>
        <v>151.29360606091376</v>
      </c>
      <c r="R728" s="306">
        <f t="shared" ca="1" si="339"/>
        <v>9.0984061739596542E-2</v>
      </c>
      <c r="S728" s="307">
        <f t="shared" ca="1" si="340"/>
        <v>15.089545603973178</v>
      </c>
      <c r="T728" s="304">
        <f t="shared" ca="1" si="320"/>
        <v>148.02844237497689</v>
      </c>
      <c r="U728" s="311">
        <f t="shared" ca="1" si="321"/>
        <v>0</v>
      </c>
      <c r="V728" s="306">
        <f t="shared" ca="1" si="322"/>
        <v>1.0270929167863181</v>
      </c>
      <c r="W728" s="304">
        <f t="shared" ca="1" si="323"/>
        <v>1144.2205451162656</v>
      </c>
      <c r="Y728" s="314" t="str">
        <f t="shared" ca="1" si="341"/>
        <v/>
      </c>
      <c r="Z728" s="315" t="str">
        <f t="shared" ca="1" si="342"/>
        <v/>
      </c>
      <c r="AA728" s="316" t="str">
        <f t="shared" ca="1" si="343"/>
        <v/>
      </c>
      <c r="AC728" s="310" t="e">
        <f t="shared" ca="1" si="344"/>
        <v>#N/A</v>
      </c>
      <c r="AD728" s="323" t="e">
        <f t="shared" ca="1" si="345"/>
        <v>#N/A</v>
      </c>
      <c r="AE728" s="324">
        <f t="shared" ca="1" si="324"/>
        <v>1757.5392359573743</v>
      </c>
      <c r="AG728" s="306">
        <f t="shared" ca="1" si="346"/>
        <v>-75.153198698707527</v>
      </c>
      <c r="AH728" s="304">
        <f t="shared" ca="1" si="347"/>
        <v>-66.094239669982983</v>
      </c>
    </row>
    <row r="729" spans="1:34" x14ac:dyDescent="0.2">
      <c r="A729" s="347">
        <f t="shared" ca="1" si="325"/>
        <v>0.01</v>
      </c>
      <c r="B729" s="304">
        <f t="shared" ca="1" si="326"/>
        <v>7.2499999999998899</v>
      </c>
      <c r="D729" s="306">
        <f t="shared" ca="1" si="327"/>
        <v>-26.967669827890212</v>
      </c>
      <c r="E729" s="307">
        <f t="shared" ca="1" si="328"/>
        <v>-74.68993464397623</v>
      </c>
      <c r="F729" s="304">
        <f t="shared" ca="1" si="329"/>
        <v>79.409329131201844</v>
      </c>
      <c r="G729" s="306">
        <f t="shared" ca="1" si="330"/>
        <v>167.51930502001477</v>
      </c>
      <c r="H729" s="307">
        <f t="shared" ca="1" si="331"/>
        <v>402.92676757911983</v>
      </c>
      <c r="I729" s="304">
        <f t="shared" ca="1" si="332"/>
        <v>436.3630341655292</v>
      </c>
      <c r="J729" s="306">
        <f t="shared" ca="1" si="333"/>
        <v>681.79933484663991</v>
      </c>
      <c r="K729" s="307">
        <f t="shared" ca="1" si="334"/>
        <v>1761.5722381298976</v>
      </c>
      <c r="L729" s="304">
        <f t="shared" ca="1" si="319"/>
        <v>1888.911613376152</v>
      </c>
      <c r="M729" s="306">
        <f t="shared" ca="1" si="335"/>
        <v>1.1767812331511749</v>
      </c>
      <c r="N729" s="304">
        <f t="shared" ca="1" si="336"/>
        <v>67.424598069762837</v>
      </c>
      <c r="P729" s="310">
        <f t="shared" ca="1" si="337"/>
        <v>21</v>
      </c>
      <c r="Q729" s="304">
        <f t="shared" ca="1" si="338"/>
        <v>84.043800001025147</v>
      </c>
      <c r="R729" s="306">
        <f t="shared" ca="1" si="339"/>
        <v>5.0541767674206185E-2</v>
      </c>
      <c r="S729" s="307">
        <f t="shared" ca="1" si="340"/>
        <v>15.089040186296437</v>
      </c>
      <c r="T729" s="304">
        <f t="shared" ca="1" si="320"/>
        <v>148.02348422756805</v>
      </c>
      <c r="U729" s="311">
        <f t="shared" ca="1" si="321"/>
        <v>0</v>
      </c>
      <c r="V729" s="306">
        <f t="shared" ca="1" si="322"/>
        <v>1.0266755436513839</v>
      </c>
      <c r="W729" s="304">
        <f t="shared" ca="1" si="323"/>
        <v>1139.6087645450937</v>
      </c>
      <c r="Y729" s="314" t="str">
        <f t="shared" ca="1" si="341"/>
        <v/>
      </c>
      <c r="Z729" s="315" t="str">
        <f t="shared" ca="1" si="342"/>
        <v/>
      </c>
      <c r="AA729" s="316" t="str">
        <f t="shared" ca="1" si="343"/>
        <v/>
      </c>
      <c r="AC729" s="310" t="e">
        <f t="shared" ca="1" si="344"/>
        <v>#N/A</v>
      </c>
      <c r="AD729" s="323" t="e">
        <f t="shared" ca="1" si="345"/>
        <v>#N/A</v>
      </c>
      <c r="AE729" s="324">
        <f t="shared" ca="1" si="324"/>
        <v>1761.5722381298976</v>
      </c>
      <c r="AG729" s="306">
        <f t="shared" ca="1" si="346"/>
        <v>-79.320012089854401</v>
      </c>
      <c r="AH729" s="304">
        <f t="shared" ca="1" si="347"/>
        <v>-70.261377266267189</v>
      </c>
    </row>
    <row r="730" spans="1:34" x14ac:dyDescent="0.2">
      <c r="A730" s="347">
        <f t="shared" ca="1" si="325"/>
        <v>0.01</v>
      </c>
      <c r="B730" s="304">
        <f t="shared" ca="1" si="326"/>
        <v>7.2599999999998897</v>
      </c>
      <c r="D730" s="306">
        <f t="shared" ca="1" si="327"/>
        <v>-28.994196320913115</v>
      </c>
      <c r="E730" s="307">
        <f t="shared" ca="1" si="328"/>
        <v>-79.548456715446193</v>
      </c>
      <c r="F730" s="304">
        <f t="shared" ca="1" si="329"/>
        <v>84.667705685844993</v>
      </c>
      <c r="G730" s="306">
        <f t="shared" ca="1" si="330"/>
        <v>167.22936305680562</v>
      </c>
      <c r="H730" s="307">
        <f t="shared" ca="1" si="331"/>
        <v>402.13128301196537</v>
      </c>
      <c r="I730" s="304">
        <f t="shared" ca="1" si="332"/>
        <v>435.51719672733282</v>
      </c>
      <c r="J730" s="306">
        <f t="shared" ca="1" si="333"/>
        <v>683.47307818702404</v>
      </c>
      <c r="K730" s="307">
        <f t="shared" ca="1" si="334"/>
        <v>1765.5975283828532</v>
      </c>
      <c r="L730" s="304">
        <f t="shared" ca="1" si="319"/>
        <v>1893.2696799024925</v>
      </c>
      <c r="M730" s="306">
        <f t="shared" ca="1" si="335"/>
        <v>1.176694760134581</v>
      </c>
      <c r="N730" s="304">
        <f t="shared" ca="1" si="336"/>
        <v>67.419643530870246</v>
      </c>
      <c r="P730" s="310">
        <f t="shared" ca="1" si="337"/>
        <v>22</v>
      </c>
      <c r="Q730" s="304">
        <f t="shared" ca="1" si="338"/>
        <v>0</v>
      </c>
      <c r="R730" s="306">
        <f t="shared" ca="1" si="339"/>
        <v>0</v>
      </c>
      <c r="S730" s="307">
        <f t="shared" ca="1" si="340"/>
        <v>15.089040186296437</v>
      </c>
      <c r="T730" s="304">
        <f t="shared" ca="1" si="320"/>
        <v>148.02348422756805</v>
      </c>
      <c r="U730" s="311">
        <f t="shared" ca="1" si="321"/>
        <v>0</v>
      </c>
      <c r="V730" s="306">
        <f t="shared" ca="1" si="322"/>
        <v>1.0262591228475508</v>
      </c>
      <c r="W730" s="304">
        <f t="shared" ca="1" si="323"/>
        <v>1134.7346199841156</v>
      </c>
      <c r="Y730" s="314" t="str">
        <f t="shared" ca="1" si="341"/>
        <v>Fin de propulsion</v>
      </c>
      <c r="Z730" s="315" t="str">
        <f t="shared" ca="1" si="342"/>
        <v/>
      </c>
      <c r="AA730" s="316" t="str">
        <f t="shared" ca="1" si="343"/>
        <v/>
      </c>
      <c r="AC730" s="310" t="e">
        <f t="shared" ca="1" si="344"/>
        <v>#N/A</v>
      </c>
      <c r="AD730" s="323" t="e">
        <f t="shared" ca="1" si="345"/>
        <v>#N/A</v>
      </c>
      <c r="AE730" s="324">
        <f t="shared" ca="1" si="324"/>
        <v>1765.5975283828532</v>
      </c>
      <c r="AG730" s="306">
        <f t="shared" ca="1" si="346"/>
        <v>-84.583906650429952</v>
      </c>
      <c r="AH730" s="304">
        <f t="shared" ca="1" si="347"/>
        <v>-75.525596755986072</v>
      </c>
    </row>
    <row r="731" spans="1:34" x14ac:dyDescent="0.2">
      <c r="A731" s="347">
        <f t="shared" ca="1" si="325"/>
        <v>0.01</v>
      </c>
      <c r="B731" s="304">
        <f t="shared" ca="1" si="326"/>
        <v>7.2699999999998894</v>
      </c>
      <c r="D731" s="306">
        <f t="shared" ca="1" si="327"/>
        <v>-28.876191773774707</v>
      </c>
      <c r="E731" s="307">
        <f t="shared" ca="1" si="328"/>
        <v>-79.247686266514904</v>
      </c>
      <c r="F731" s="304">
        <f t="shared" ca="1" si="329"/>
        <v>84.344710740815216</v>
      </c>
      <c r="G731" s="306">
        <f t="shared" ca="1" si="330"/>
        <v>166.94060113906787</v>
      </c>
      <c r="H731" s="307">
        <f t="shared" ca="1" si="331"/>
        <v>401.33880614930024</v>
      </c>
      <c r="I731" s="304">
        <f t="shared" ca="1" si="332"/>
        <v>434.67459280480034</v>
      </c>
      <c r="J731" s="306">
        <f t="shared" ca="1" si="333"/>
        <v>685.1439280080034</v>
      </c>
      <c r="K731" s="307">
        <f t="shared" ca="1" si="334"/>
        <v>1769.6148788286596</v>
      </c>
      <c r="L731" s="304">
        <f t="shared" ca="1" si="319"/>
        <v>1897.6193036165098</v>
      </c>
      <c r="M731" s="306">
        <f t="shared" ca="1" si="335"/>
        <v>1.1766081014725465</v>
      </c>
      <c r="N731" s="304">
        <f t="shared" ca="1" si="336"/>
        <v>67.414678355277417</v>
      </c>
      <c r="P731" s="310">
        <f t="shared" ca="1" si="337"/>
        <v>22</v>
      </c>
      <c r="Q731" s="304">
        <f t="shared" ca="1" si="338"/>
        <v>0</v>
      </c>
      <c r="R731" s="306">
        <f t="shared" ca="1" si="339"/>
        <v>0</v>
      </c>
      <c r="S731" s="307">
        <f t="shared" ca="1" si="340"/>
        <v>15.089040186296437</v>
      </c>
      <c r="T731" s="304">
        <f t="shared" ca="1" si="320"/>
        <v>148.02348422756805</v>
      </c>
      <c r="U731" s="311">
        <f t="shared" ca="1" si="321"/>
        <v>0</v>
      </c>
      <c r="V731" s="306">
        <f t="shared" ca="1" si="322"/>
        <v>1.0258436769661634</v>
      </c>
      <c r="W731" s="304">
        <f t="shared" ca="1" si="323"/>
        <v>1129.8904967186236</v>
      </c>
      <c r="Y731" s="314" t="str">
        <f t="shared" ca="1" si="341"/>
        <v/>
      </c>
      <c r="Z731" s="315" t="str">
        <f t="shared" ca="1" si="342"/>
        <v/>
      </c>
      <c r="AA731" s="316" t="str">
        <f t="shared" ca="1" si="343"/>
        <v/>
      </c>
      <c r="AC731" s="310" t="e">
        <f t="shared" ca="1" si="344"/>
        <v>#N/A</v>
      </c>
      <c r="AD731" s="323" t="e">
        <f t="shared" ca="1" si="345"/>
        <v>#N/A</v>
      </c>
      <c r="AE731" s="324">
        <f t="shared" ca="1" si="324"/>
        <v>1769.6148788286596</v>
      </c>
      <c r="AG731" s="306">
        <f t="shared" ca="1" si="346"/>
        <v>-84.260555467555847</v>
      </c>
      <c r="AH731" s="304">
        <f t="shared" ca="1" si="347"/>
        <v>-75.202571268559467</v>
      </c>
    </row>
    <row r="732" spans="1:34" x14ac:dyDescent="0.2">
      <c r="A732" s="347">
        <f t="shared" ca="1" si="325"/>
        <v>0.01</v>
      </c>
      <c r="B732" s="304">
        <f t="shared" ca="1" si="326"/>
        <v>7.2799999999998892</v>
      </c>
      <c r="D732" s="306">
        <f t="shared" ca="1" si="327"/>
        <v>-28.758912389245314</v>
      </c>
      <c r="E732" s="307">
        <f t="shared" ca="1" si="328"/>
        <v>-78.948768434390942</v>
      </c>
      <c r="F732" s="304">
        <f t="shared" ca="1" si="329"/>
        <v>84.023705459348619</v>
      </c>
      <c r="G732" s="306">
        <f t="shared" ca="1" si="330"/>
        <v>166.65301201517542</v>
      </c>
      <c r="H732" s="307">
        <f t="shared" ca="1" si="331"/>
        <v>400.54931846495634</v>
      </c>
      <c r="I732" s="304">
        <f t="shared" ca="1" si="332"/>
        <v>433.83520250951426</v>
      </c>
      <c r="J732" s="306">
        <f t="shared" ca="1" si="333"/>
        <v>686.81189607377462</v>
      </c>
      <c r="K732" s="307">
        <f t="shared" ca="1" si="334"/>
        <v>1773.6243194517308</v>
      </c>
      <c r="L732" s="304">
        <f t="shared" ca="1" si="319"/>
        <v>1901.9605167140219</v>
      </c>
      <c r="M732" s="306">
        <f t="shared" ca="1" si="335"/>
        <v>1.1765212570491306</v>
      </c>
      <c r="N732" s="304">
        <f t="shared" ca="1" si="336"/>
        <v>67.409702536341442</v>
      </c>
      <c r="P732" s="310">
        <f t="shared" ca="1" si="337"/>
        <v>22</v>
      </c>
      <c r="Q732" s="304">
        <f t="shared" ca="1" si="338"/>
        <v>0</v>
      </c>
      <c r="R732" s="306">
        <f t="shared" ca="1" si="339"/>
        <v>0</v>
      </c>
      <c r="S732" s="307">
        <f t="shared" ca="1" si="340"/>
        <v>15.089040186296437</v>
      </c>
      <c r="T732" s="304">
        <f t="shared" ca="1" si="320"/>
        <v>148.02348422756805</v>
      </c>
      <c r="U732" s="311">
        <f t="shared" ca="1" si="321"/>
        <v>0</v>
      </c>
      <c r="V732" s="306">
        <f t="shared" ca="1" si="322"/>
        <v>1.0254292019140452</v>
      </c>
      <c r="W732" s="304">
        <f t="shared" ca="1" si="323"/>
        <v>1125.0761460628714</v>
      </c>
      <c r="Y732" s="314" t="str">
        <f t="shared" ca="1" si="341"/>
        <v/>
      </c>
      <c r="Z732" s="315" t="str">
        <f t="shared" ca="1" si="342"/>
        <v/>
      </c>
      <c r="AA732" s="316" t="str">
        <f t="shared" ca="1" si="343"/>
        <v/>
      </c>
      <c r="AC732" s="310" t="e">
        <f t="shared" ca="1" si="344"/>
        <v>#N/A</v>
      </c>
      <c r="AD732" s="323" t="e">
        <f t="shared" ca="1" si="345"/>
        <v>#N/A</v>
      </c>
      <c r="AE732" s="324">
        <f t="shared" ca="1" si="324"/>
        <v>1773.6243194517308</v>
      </c>
      <c r="AG732" s="306">
        <f t="shared" ca="1" si="346"/>
        <v>-83.939193126862435</v>
      </c>
      <c r="AH732" s="304">
        <f t="shared" ca="1" si="347"/>
        <v>-74.881535390486093</v>
      </c>
    </row>
    <row r="733" spans="1:34" x14ac:dyDescent="0.2">
      <c r="A733" s="347">
        <f t="shared" ca="1" si="325"/>
        <v>0.01</v>
      </c>
      <c r="B733" s="304">
        <f t="shared" ca="1" si="326"/>
        <v>7.289999999999889</v>
      </c>
      <c r="D733" s="306">
        <f t="shared" ca="1" si="327"/>
        <v>-28.642352158073379</v>
      </c>
      <c r="E733" s="307">
        <f t="shared" ca="1" si="328"/>
        <v>-78.651687872433214</v>
      </c>
      <c r="F733" s="304">
        <f t="shared" ca="1" si="329"/>
        <v>83.704673360152057</v>
      </c>
      <c r="G733" s="306">
        <f t="shared" ca="1" si="330"/>
        <v>166.36658849359469</v>
      </c>
      <c r="H733" s="307">
        <f t="shared" ca="1" si="331"/>
        <v>399.762801586232</v>
      </c>
      <c r="I733" s="304">
        <f t="shared" ca="1" si="332"/>
        <v>432.99900611787803</v>
      </c>
      <c r="J733" s="306">
        <f t="shared" ca="1" si="333"/>
        <v>688.47699407631842</v>
      </c>
      <c r="K733" s="307">
        <f t="shared" ca="1" si="334"/>
        <v>1777.6258800519868</v>
      </c>
      <c r="L733" s="304">
        <f t="shared" ca="1" si="319"/>
        <v>1906.2933511930853</v>
      </c>
      <c r="M733" s="306">
        <f t="shared" ca="1" si="335"/>
        <v>1.1764342267478691</v>
      </c>
      <c r="N733" s="304">
        <f t="shared" ca="1" si="336"/>
        <v>67.404716067389401</v>
      </c>
      <c r="P733" s="310">
        <f t="shared" ca="1" si="337"/>
        <v>22</v>
      </c>
      <c r="Q733" s="304">
        <f t="shared" ca="1" si="338"/>
        <v>0</v>
      </c>
      <c r="R733" s="306">
        <f t="shared" ca="1" si="339"/>
        <v>0</v>
      </c>
      <c r="S733" s="307">
        <f t="shared" ca="1" si="340"/>
        <v>15.089040186296437</v>
      </c>
      <c r="T733" s="304">
        <f t="shared" ca="1" si="320"/>
        <v>148.02348422756805</v>
      </c>
      <c r="U733" s="311">
        <f t="shared" ca="1" si="321"/>
        <v>0</v>
      </c>
      <c r="V733" s="306">
        <f t="shared" ca="1" si="322"/>
        <v>1.0250156936244985</v>
      </c>
      <c r="W733" s="304">
        <f t="shared" ca="1" si="323"/>
        <v>1120.291321920565</v>
      </c>
      <c r="Y733" s="314" t="str">
        <f t="shared" ca="1" si="341"/>
        <v/>
      </c>
      <c r="Z733" s="315" t="str">
        <f t="shared" ca="1" si="342"/>
        <v/>
      </c>
      <c r="AA733" s="316" t="str">
        <f t="shared" ca="1" si="343"/>
        <v/>
      </c>
      <c r="AC733" s="310" t="e">
        <f t="shared" ca="1" si="344"/>
        <v>#N/A</v>
      </c>
      <c r="AD733" s="323" t="e">
        <f t="shared" ca="1" si="345"/>
        <v>#N/A</v>
      </c>
      <c r="AE733" s="324">
        <f t="shared" ca="1" si="324"/>
        <v>1777.6258800519868</v>
      </c>
      <c r="AG733" s="306">
        <f t="shared" ca="1" si="346"/>
        <v>-83.619803146261063</v>
      </c>
      <c r="AH733" s="304">
        <f t="shared" ca="1" si="347"/>
        <v>-74.562472640548933</v>
      </c>
    </row>
    <row r="734" spans="1:34" x14ac:dyDescent="0.2">
      <c r="A734" s="347">
        <f t="shared" ca="1" si="325"/>
        <v>0.01</v>
      </c>
      <c r="B734" s="304">
        <f t="shared" ca="1" si="326"/>
        <v>7.2999999999998888</v>
      </c>
      <c r="D734" s="306">
        <f t="shared" ca="1" si="327"/>
        <v>-28.526505133578244</v>
      </c>
      <c r="E734" s="307">
        <f t="shared" ca="1" si="328"/>
        <v>-78.356429393798194</v>
      </c>
      <c r="F734" s="304">
        <f t="shared" ca="1" si="329"/>
        <v>83.387598133543506</v>
      </c>
      <c r="G734" s="306">
        <f t="shared" ca="1" si="330"/>
        <v>166.08132344225891</v>
      </c>
      <c r="H734" s="307">
        <f t="shared" ca="1" si="331"/>
        <v>398.97923729229404</v>
      </c>
      <c r="I734" s="304">
        <f t="shared" ca="1" si="332"/>
        <v>432.1659840694</v>
      </c>
      <c r="J734" s="306">
        <f t="shared" ca="1" si="333"/>
        <v>690.1392336359977</v>
      </c>
      <c r="K734" s="307">
        <f t="shared" ca="1" si="334"/>
        <v>1781.6195902463794</v>
      </c>
      <c r="L734" s="304">
        <f t="shared" ca="1" si="319"/>
        <v>1910.6178388556302</v>
      </c>
      <c r="M734" s="306">
        <f t="shared" ca="1" si="335"/>
        <v>1.1763470104517764</v>
      </c>
      <c r="N734" s="304">
        <f t="shared" ca="1" si="336"/>
        <v>67.399718941718518</v>
      </c>
      <c r="P734" s="310">
        <f t="shared" ca="1" si="337"/>
        <v>22</v>
      </c>
      <c r="Q734" s="304">
        <f t="shared" ca="1" si="338"/>
        <v>0</v>
      </c>
      <c r="R734" s="306">
        <f t="shared" ca="1" si="339"/>
        <v>0</v>
      </c>
      <c r="S734" s="307">
        <f t="shared" ca="1" si="340"/>
        <v>15.089040186296437</v>
      </c>
      <c r="T734" s="304">
        <f t="shared" ca="1" si="320"/>
        <v>148.02348422756805</v>
      </c>
      <c r="U734" s="311">
        <f t="shared" ca="1" si="321"/>
        <v>0</v>
      </c>
      <c r="V734" s="306">
        <f t="shared" ca="1" si="322"/>
        <v>1.024603148057079</v>
      </c>
      <c r="W734" s="304">
        <f t="shared" ca="1" si="323"/>
        <v>1115.5357807524197</v>
      </c>
      <c r="Y734" s="314" t="str">
        <f t="shared" ca="1" si="341"/>
        <v/>
      </c>
      <c r="Z734" s="315" t="str">
        <f t="shared" ca="1" si="342"/>
        <v/>
      </c>
      <c r="AA734" s="316" t="str">
        <f t="shared" ca="1" si="343"/>
        <v/>
      </c>
      <c r="AC734" s="310" t="e">
        <f t="shared" ca="1" si="344"/>
        <v>#N/A</v>
      </c>
      <c r="AD734" s="323" t="e">
        <f t="shared" ca="1" si="345"/>
        <v>#N/A</v>
      </c>
      <c r="AE734" s="324">
        <f t="shared" ca="1" si="324"/>
        <v>1781.6195902463794</v>
      </c>
      <c r="AG734" s="306">
        <f t="shared" ca="1" si="346"/>
        <v>-83.302369215271256</v>
      </c>
      <c r="AH734" s="304">
        <f t="shared" ca="1" si="347"/>
        <v>-74.245366709142374</v>
      </c>
    </row>
    <row r="735" spans="1:34" x14ac:dyDescent="0.2">
      <c r="A735" s="347">
        <f t="shared" ca="1" si="325"/>
        <v>0.01</v>
      </c>
      <c r="B735" s="304">
        <f t="shared" ca="1" si="326"/>
        <v>7.3099999999998886</v>
      </c>
      <c r="D735" s="306">
        <f t="shared" ca="1" si="327"/>
        <v>-28.411365430866145</v>
      </c>
      <c r="E735" s="307">
        <f t="shared" ca="1" si="328"/>
        <v>-78.062977969438094</v>
      </c>
      <c r="F735" s="304">
        <f t="shared" ca="1" si="329"/>
        <v>83.072463639302242</v>
      </c>
      <c r="G735" s="306">
        <f t="shared" ca="1" si="330"/>
        <v>165.79720978795024</v>
      </c>
      <c r="H735" s="307">
        <f t="shared" ca="1" si="331"/>
        <v>398.19860751259966</v>
      </c>
      <c r="I735" s="304">
        <f t="shared" ca="1" si="332"/>
        <v>431.33611696499861</v>
      </c>
      <c r="J735" s="306">
        <f t="shared" ca="1" si="333"/>
        <v>691.7986263021487</v>
      </c>
      <c r="K735" s="307">
        <f t="shared" ca="1" si="334"/>
        <v>1785.6054794704039</v>
      </c>
      <c r="L735" s="304">
        <f t="shared" ca="1" si="319"/>
        <v>1914.9340113090766</v>
      </c>
      <c r="M735" s="306">
        <f t="shared" ca="1" si="335"/>
        <v>1.1762596080433438</v>
      </c>
      <c r="N735" s="304">
        <f t="shared" ca="1" si="336"/>
        <v>67.394711152596059</v>
      </c>
      <c r="P735" s="310">
        <f t="shared" ca="1" si="337"/>
        <v>22</v>
      </c>
      <c r="Q735" s="304">
        <f t="shared" ca="1" si="338"/>
        <v>0</v>
      </c>
      <c r="R735" s="306">
        <f t="shared" ca="1" si="339"/>
        <v>0</v>
      </c>
      <c r="S735" s="307">
        <f t="shared" ca="1" si="340"/>
        <v>15.089040186296437</v>
      </c>
      <c r="T735" s="304">
        <f t="shared" ca="1" si="320"/>
        <v>148.02348422756805</v>
      </c>
      <c r="U735" s="311">
        <f t="shared" ca="1" si="321"/>
        <v>0</v>
      </c>
      <c r="V735" s="306">
        <f t="shared" ca="1" si="322"/>
        <v>1.0241915611973693</v>
      </c>
      <c r="W735" s="304">
        <f t="shared" ca="1" si="323"/>
        <v>1110.8092815441892</v>
      </c>
      <c r="Y735" s="314" t="str">
        <f t="shared" ca="1" si="341"/>
        <v/>
      </c>
      <c r="Z735" s="315" t="str">
        <f t="shared" ca="1" si="342"/>
        <v/>
      </c>
      <c r="AA735" s="316" t="str">
        <f t="shared" ca="1" si="343"/>
        <v/>
      </c>
      <c r="AC735" s="310" t="e">
        <f t="shared" ca="1" si="344"/>
        <v>#N/A</v>
      </c>
      <c r="AD735" s="323" t="e">
        <f t="shared" ca="1" si="345"/>
        <v>#N/A</v>
      </c>
      <c r="AE735" s="324">
        <f t="shared" ca="1" si="324"/>
        <v>1785.6054794704039</v>
      </c>
      <c r="AG735" s="306">
        <f t="shared" ca="1" si="346"/>
        <v>-82.986875192870727</v>
      </c>
      <c r="AH735" s="304">
        <f t="shared" ca="1" si="347"/>
        <v>-73.930201456122234</v>
      </c>
    </row>
    <row r="736" spans="1:34" x14ac:dyDescent="0.2">
      <c r="A736" s="347">
        <f t="shared" ca="1" si="325"/>
        <v>0.01</v>
      </c>
      <c r="B736" s="304">
        <f t="shared" ca="1" si="326"/>
        <v>7.3199999999998884</v>
      </c>
      <c r="D736" s="306">
        <f t="shared" ca="1" si="327"/>
        <v>-28.296927226057694</v>
      </c>
      <c r="E736" s="307">
        <f t="shared" ca="1" si="328"/>
        <v>-77.771318726127703</v>
      </c>
      <c r="F736" s="304">
        <f t="shared" ca="1" si="329"/>
        <v>82.759253904549837</v>
      </c>
      <c r="G736" s="306">
        <f t="shared" ca="1" si="330"/>
        <v>165.51424051568966</v>
      </c>
      <c r="H736" s="307">
        <f t="shared" ca="1" si="331"/>
        <v>397.42089432533839</v>
      </c>
      <c r="I736" s="304">
        <f t="shared" ca="1" si="332"/>
        <v>430.5093855653293</v>
      </c>
      <c r="J736" s="306">
        <f t="shared" ca="1" si="333"/>
        <v>693.45518355366687</v>
      </c>
      <c r="K736" s="307">
        <f t="shared" ca="1" si="334"/>
        <v>1789.5835769795935</v>
      </c>
      <c r="L736" s="304">
        <f t="shared" ca="1" si="319"/>
        <v>1919.2418999679344</v>
      </c>
      <c r="M736" s="306">
        <f t="shared" ca="1" si="335"/>
        <v>1.17617201940454</v>
      </c>
      <c r="N736" s="304">
        <f t="shared" ca="1" si="336"/>
        <v>67.389692693259306</v>
      </c>
      <c r="P736" s="310">
        <f t="shared" ca="1" si="337"/>
        <v>22</v>
      </c>
      <c r="Q736" s="304">
        <f t="shared" ca="1" si="338"/>
        <v>0</v>
      </c>
      <c r="R736" s="306">
        <f t="shared" ca="1" si="339"/>
        <v>0</v>
      </c>
      <c r="S736" s="307">
        <f t="shared" ca="1" si="340"/>
        <v>15.089040186296437</v>
      </c>
      <c r="T736" s="304">
        <f t="shared" ca="1" si="320"/>
        <v>148.02348422756805</v>
      </c>
      <c r="U736" s="311">
        <f t="shared" ca="1" si="321"/>
        <v>0</v>
      </c>
      <c r="V736" s="306">
        <f t="shared" ca="1" si="322"/>
        <v>1.0237809290567561</v>
      </c>
      <c r="W736" s="304">
        <f t="shared" ca="1" si="323"/>
        <v>1106.1115857751661</v>
      </c>
      <c r="Y736" s="314" t="str">
        <f t="shared" ca="1" si="341"/>
        <v/>
      </c>
      <c r="Z736" s="315" t="str">
        <f t="shared" ca="1" si="342"/>
        <v/>
      </c>
      <c r="AA736" s="316" t="str">
        <f t="shared" ca="1" si="343"/>
        <v/>
      </c>
      <c r="AC736" s="310" t="e">
        <f t="shared" ca="1" si="344"/>
        <v>#N/A</v>
      </c>
      <c r="AD736" s="323" t="e">
        <f t="shared" ca="1" si="345"/>
        <v>#N/A</v>
      </c>
      <c r="AE736" s="324">
        <f t="shared" ca="1" si="324"/>
        <v>1789.5835769795935</v>
      </c>
      <c r="AG736" s="306">
        <f t="shared" ca="1" si="346"/>
        <v>-82.673305105376429</v>
      </c>
      <c r="AH736" s="304">
        <f t="shared" ca="1" si="347"/>
        <v>-73.616960908686806</v>
      </c>
    </row>
    <row r="737" spans="1:34" x14ac:dyDescent="0.2">
      <c r="A737" s="347">
        <f t="shared" ca="1" si="325"/>
        <v>0.01</v>
      </c>
      <c r="B737" s="304">
        <f t="shared" ca="1" si="326"/>
        <v>7.3299999999998882</v>
      </c>
      <c r="D737" s="306">
        <f t="shared" ca="1" si="327"/>
        <v>-28.18318475552682</v>
      </c>
      <c r="E737" s="307">
        <f t="shared" ca="1" si="328"/>
        <v>-77.481436944520638</v>
      </c>
      <c r="F737" s="304">
        <f t="shared" ca="1" si="329"/>
        <v>82.447953121662678</v>
      </c>
      <c r="G737" s="306">
        <f t="shared" ca="1" si="330"/>
        <v>165.23240866813438</v>
      </c>
      <c r="H737" s="307">
        <f t="shared" ca="1" si="331"/>
        <v>396.64607995589319</v>
      </c>
      <c r="I737" s="304">
        <f t="shared" ca="1" si="332"/>
        <v>429.68577078913165</v>
      </c>
      <c r="J737" s="306">
        <f t="shared" ca="1" si="333"/>
        <v>695.10891679958604</v>
      </c>
      <c r="K737" s="307">
        <f t="shared" ca="1" si="334"/>
        <v>1793.5539118509996</v>
      </c>
      <c r="L737" s="304">
        <f t="shared" ca="1" si="319"/>
        <v>1923.5415360553868</v>
      </c>
      <c r="M737" s="306">
        <f t="shared" ca="1" si="335"/>
        <v>1.1760842444168116</v>
      </c>
      <c r="N737" s="304">
        <f t="shared" ca="1" si="336"/>
        <v>67.384663556915655</v>
      </c>
      <c r="P737" s="310">
        <f t="shared" ca="1" si="337"/>
        <v>22</v>
      </c>
      <c r="Q737" s="304">
        <f t="shared" ca="1" si="338"/>
        <v>0</v>
      </c>
      <c r="R737" s="306">
        <f t="shared" ca="1" si="339"/>
        <v>0</v>
      </c>
      <c r="S737" s="307">
        <f t="shared" ca="1" si="340"/>
        <v>15.089040186296437</v>
      </c>
      <c r="T737" s="304">
        <f t="shared" ca="1" si="320"/>
        <v>148.02348422756805</v>
      </c>
      <c r="U737" s="311">
        <f t="shared" ca="1" si="321"/>
        <v>0</v>
      </c>
      <c r="V737" s="306">
        <f t="shared" ca="1" si="322"/>
        <v>1.0233712476722101</v>
      </c>
      <c r="W737" s="304">
        <f t="shared" ca="1" si="323"/>
        <v>1101.4424573871358</v>
      </c>
      <c r="Y737" s="314" t="str">
        <f t="shared" ca="1" si="341"/>
        <v/>
      </c>
      <c r="Z737" s="315" t="str">
        <f t="shared" ca="1" si="342"/>
        <v/>
      </c>
      <c r="AA737" s="316" t="str">
        <f t="shared" ca="1" si="343"/>
        <v/>
      </c>
      <c r="AC737" s="310" t="e">
        <f t="shared" ca="1" si="344"/>
        <v>#N/A</v>
      </c>
      <c r="AD737" s="323" t="e">
        <f t="shared" ca="1" si="345"/>
        <v>#N/A</v>
      </c>
      <c r="AE737" s="324">
        <f t="shared" ca="1" si="324"/>
        <v>1793.5539118509996</v>
      </c>
      <c r="AG737" s="306">
        <f t="shared" ca="1" si="346"/>
        <v>-82.361643144357089</v>
      </c>
      <c r="AH737" s="304">
        <f t="shared" ca="1" si="347"/>
        <v>-73.305629259289432</v>
      </c>
    </row>
    <row r="738" spans="1:34" x14ac:dyDescent="0.2">
      <c r="A738" s="347">
        <f t="shared" ca="1" si="325"/>
        <v>0.01</v>
      </c>
      <c r="B738" s="304">
        <f t="shared" ca="1" si="326"/>
        <v>7.3399999999998879</v>
      </c>
      <c r="D738" s="306">
        <f t="shared" ca="1" si="327"/>
        <v>-28.070132315150417</v>
      </c>
      <c r="E738" s="307">
        <f t="shared" ca="1" si="328"/>
        <v>-77.193318057233341</v>
      </c>
      <c r="F738" s="304">
        <f t="shared" ca="1" si="329"/>
        <v>82.138545646214354</v>
      </c>
      <c r="G738" s="306">
        <f t="shared" ca="1" si="330"/>
        <v>164.95170734498288</v>
      </c>
      <c r="H738" s="307">
        <f t="shared" ca="1" si="331"/>
        <v>395.87414677532087</v>
      </c>
      <c r="I738" s="304">
        <f t="shared" ca="1" si="332"/>
        <v>428.8652537115978</v>
      </c>
      <c r="J738" s="306">
        <f t="shared" ca="1" si="333"/>
        <v>696.75983737965157</v>
      </c>
      <c r="K738" s="307">
        <f t="shared" ca="1" si="334"/>
        <v>1797.5165129846557</v>
      </c>
      <c r="L738" s="304">
        <f t="shared" ca="1" si="319"/>
        <v>1927.8329506048585</v>
      </c>
      <c r="M738" s="306">
        <f t="shared" ca="1" si="335"/>
        <v>1.1759962829610824</v>
      </c>
      <c r="N738" s="304">
        <f t="shared" ca="1" si="336"/>
        <v>67.379623736742545</v>
      </c>
      <c r="P738" s="310">
        <f t="shared" ca="1" si="337"/>
        <v>22</v>
      </c>
      <c r="Q738" s="304">
        <f t="shared" ca="1" si="338"/>
        <v>0</v>
      </c>
      <c r="R738" s="306">
        <f t="shared" ca="1" si="339"/>
        <v>0</v>
      </c>
      <c r="S738" s="307">
        <f t="shared" ca="1" si="340"/>
        <v>15.089040186296437</v>
      </c>
      <c r="T738" s="304">
        <f t="shared" ca="1" si="320"/>
        <v>148.02348422756805</v>
      </c>
      <c r="U738" s="311">
        <f t="shared" ca="1" si="321"/>
        <v>0</v>
      </c>
      <c r="V738" s="306">
        <f t="shared" ca="1" si="322"/>
        <v>1.0229625131060678</v>
      </c>
      <c r="W738" s="304">
        <f t="shared" ca="1" si="323"/>
        <v>1096.8016627537888</v>
      </c>
      <c r="Y738" s="314" t="str">
        <f t="shared" ca="1" si="341"/>
        <v/>
      </c>
      <c r="Z738" s="315" t="str">
        <f t="shared" ca="1" si="342"/>
        <v/>
      </c>
      <c r="AA738" s="316" t="str">
        <f t="shared" ca="1" si="343"/>
        <v/>
      </c>
      <c r="AC738" s="310" t="e">
        <f t="shared" ca="1" si="344"/>
        <v>#N/A</v>
      </c>
      <c r="AD738" s="323" t="e">
        <f t="shared" ca="1" si="345"/>
        <v>#N/A</v>
      </c>
      <c r="AE738" s="324">
        <f t="shared" ca="1" si="324"/>
        <v>1797.5165129846557</v>
      </c>
      <c r="AG738" s="306">
        <f t="shared" ca="1" si="346"/>
        <v>-82.051873664575567</v>
      </c>
      <c r="AH738" s="304">
        <f t="shared" ca="1" si="347"/>
        <v>-72.996190863580821</v>
      </c>
    </row>
    <row r="739" spans="1:34" x14ac:dyDescent="0.2">
      <c r="A739" s="347">
        <f t="shared" ca="1" si="325"/>
        <v>0.01</v>
      </c>
      <c r="B739" s="304">
        <f t="shared" ca="1" si="326"/>
        <v>7.3499999999998877</v>
      </c>
      <c r="D739" s="306">
        <f t="shared" ca="1" si="327"/>
        <v>-27.957764259569384</v>
      </c>
      <c r="E739" s="307">
        <f t="shared" ca="1" si="328"/>
        <v>-76.906947646957619</v>
      </c>
      <c r="F739" s="304">
        <f t="shared" ca="1" si="329"/>
        <v>81.831015994948615</v>
      </c>
      <c r="G739" s="306">
        <f t="shared" ca="1" si="330"/>
        <v>164.6721297023872</v>
      </c>
      <c r="H739" s="307">
        <f t="shared" ca="1" si="331"/>
        <v>395.10507729885131</v>
      </c>
      <c r="I739" s="304">
        <f t="shared" ca="1" si="332"/>
        <v>428.0478155627606</v>
      </c>
      <c r="J739" s="306">
        <f t="shared" ca="1" si="333"/>
        <v>698.40795656488842</v>
      </c>
      <c r="K739" s="307">
        <f t="shared" ca="1" si="334"/>
        <v>1801.4714091050266</v>
      </c>
      <c r="L739" s="304">
        <f t="shared" ca="1" si="319"/>
        <v>1932.1161744615652</v>
      </c>
      <c r="M739" s="306">
        <f t="shared" ca="1" si="335"/>
        <v>1.175908134917754</v>
      </c>
      <c r="N739" s="304">
        <f t="shared" ca="1" si="336"/>
        <v>67.374573225887502</v>
      </c>
      <c r="P739" s="310">
        <f t="shared" ca="1" si="337"/>
        <v>22</v>
      </c>
      <c r="Q739" s="304">
        <f t="shared" ca="1" si="338"/>
        <v>0</v>
      </c>
      <c r="R739" s="306">
        <f t="shared" ca="1" si="339"/>
        <v>0</v>
      </c>
      <c r="S739" s="307">
        <f t="shared" ca="1" si="340"/>
        <v>15.089040186296437</v>
      </c>
      <c r="T739" s="304">
        <f t="shared" ca="1" si="320"/>
        <v>148.02348422756805</v>
      </c>
      <c r="U739" s="311">
        <f t="shared" ca="1" si="321"/>
        <v>0</v>
      </c>
      <c r="V739" s="306">
        <f t="shared" ca="1" si="322"/>
        <v>1.0225547214458175</v>
      </c>
      <c r="W739" s="304">
        <f t="shared" ca="1" si="323"/>
        <v>1092.1889706505722</v>
      </c>
      <c r="Y739" s="314" t="str">
        <f t="shared" ca="1" si="341"/>
        <v/>
      </c>
      <c r="Z739" s="315" t="str">
        <f t="shared" ca="1" si="342"/>
        <v/>
      </c>
      <c r="AA739" s="316" t="str">
        <f t="shared" ca="1" si="343"/>
        <v/>
      </c>
      <c r="AC739" s="310" t="e">
        <f t="shared" ca="1" si="344"/>
        <v>#N/A</v>
      </c>
      <c r="AD739" s="323" t="e">
        <f t="shared" ca="1" si="345"/>
        <v>#N/A</v>
      </c>
      <c r="AE739" s="324">
        <f t="shared" ca="1" si="324"/>
        <v>1801.4714091050266</v>
      </c>
      <c r="AG739" s="306">
        <f t="shared" ca="1" si="346"/>
        <v>-81.743981181961814</v>
      </c>
      <c r="AH739" s="304">
        <f t="shared" ca="1" si="347"/>
        <v>-72.688630238382032</v>
      </c>
    </row>
    <row r="740" spans="1:34" x14ac:dyDescent="0.2">
      <c r="A740" s="347">
        <f t="shared" ca="1" si="325"/>
        <v>0.01</v>
      </c>
      <c r="B740" s="304">
        <f t="shared" ca="1" si="326"/>
        <v>7.3599999999998875</v>
      </c>
      <c r="D740" s="306">
        <f t="shared" ca="1" si="327"/>
        <v>-27.846075001460012</v>
      </c>
      <c r="E740" s="307">
        <f t="shared" ca="1" si="328"/>
        <v>-76.622311444600044</v>
      </c>
      <c r="F740" s="304">
        <f t="shared" ca="1" si="329"/>
        <v>81.525348843781245</v>
      </c>
      <c r="G740" s="306">
        <f t="shared" ca="1" si="330"/>
        <v>164.39366895237259</v>
      </c>
      <c r="H740" s="307">
        <f t="shared" ca="1" si="331"/>
        <v>394.33885418440531</v>
      </c>
      <c r="I740" s="304">
        <f t="shared" ca="1" si="332"/>
        <v>427.23343772590175</v>
      </c>
      <c r="J740" s="306">
        <f t="shared" ca="1" si="333"/>
        <v>700.0532855581622</v>
      </c>
      <c r="K740" s="307">
        <f t="shared" ca="1" si="334"/>
        <v>1805.4186287624429</v>
      </c>
      <c r="L740" s="304">
        <f t="shared" ca="1" si="319"/>
        <v>1936.3912382840501</v>
      </c>
      <c r="M740" s="306">
        <f t="shared" ca="1" si="335"/>
        <v>1.1758198001667057</v>
      </c>
      <c r="N740" s="304">
        <f t="shared" ca="1" si="336"/>
        <v>67.369512017468082</v>
      </c>
      <c r="P740" s="310">
        <f t="shared" ca="1" si="337"/>
        <v>22</v>
      </c>
      <c r="Q740" s="304">
        <f t="shared" ca="1" si="338"/>
        <v>0</v>
      </c>
      <c r="R740" s="306">
        <f t="shared" ca="1" si="339"/>
        <v>0</v>
      </c>
      <c r="S740" s="307">
        <f t="shared" ca="1" si="340"/>
        <v>15.089040186296437</v>
      </c>
      <c r="T740" s="304">
        <f t="shared" ca="1" si="320"/>
        <v>148.02348422756805</v>
      </c>
      <c r="U740" s="311">
        <f t="shared" ca="1" si="321"/>
        <v>0</v>
      </c>
      <c r="V740" s="306">
        <f t="shared" ca="1" si="322"/>
        <v>1.0221478688038825</v>
      </c>
      <c r="W740" s="304">
        <f t="shared" ca="1" si="323"/>
        <v>1087.6041522249764</v>
      </c>
      <c r="Y740" s="314" t="str">
        <f t="shared" ca="1" si="341"/>
        <v/>
      </c>
      <c r="Z740" s="315" t="str">
        <f t="shared" ca="1" si="342"/>
        <v/>
      </c>
      <c r="AA740" s="316" t="str">
        <f t="shared" ca="1" si="343"/>
        <v/>
      </c>
      <c r="AC740" s="310" t="e">
        <f t="shared" ca="1" si="344"/>
        <v>#N/A</v>
      </c>
      <c r="AD740" s="323" t="e">
        <f t="shared" ca="1" si="345"/>
        <v>#N/A</v>
      </c>
      <c r="AE740" s="324">
        <f t="shared" ca="1" si="324"/>
        <v>1805.4186287624429</v>
      </c>
      <c r="AG740" s="306">
        <f t="shared" ca="1" si="346"/>
        <v>-81.437950371614718</v>
      </c>
      <c r="AH740" s="304">
        <f t="shared" ca="1" si="347"/>
        <v>-72.382932059686354</v>
      </c>
    </row>
    <row r="741" spans="1:34" x14ac:dyDescent="0.2">
      <c r="A741" s="347">
        <f t="shared" ca="1" si="325"/>
        <v>0.01</v>
      </c>
      <c r="B741" s="304">
        <f t="shared" ca="1" si="326"/>
        <v>7.3699999999998873</v>
      </c>
      <c r="D741" s="306">
        <f t="shared" ca="1" si="327"/>
        <v>-27.735059010816062</v>
      </c>
      <c r="E741" s="307">
        <f t="shared" ca="1" si="328"/>
        <v>-76.339395327448386</v>
      </c>
      <c r="F741" s="304">
        <f t="shared" ca="1" si="329"/>
        <v>81.221529025830932</v>
      </c>
      <c r="G741" s="306">
        <f t="shared" ca="1" si="330"/>
        <v>164.11631836226442</v>
      </c>
      <c r="H741" s="307">
        <f t="shared" ca="1" si="331"/>
        <v>393.57546023113082</v>
      </c>
      <c r="I741" s="304">
        <f t="shared" ca="1" si="332"/>
        <v>426.42210173598011</v>
      </c>
      <c r="J741" s="306">
        <f t="shared" ca="1" si="333"/>
        <v>701.69583549473543</v>
      </c>
      <c r="K741" s="307">
        <f t="shared" ca="1" si="334"/>
        <v>1809.3582003345207</v>
      </c>
      <c r="L741" s="304">
        <f t="shared" ca="1" si="319"/>
        <v>1940.6581725457038</v>
      </c>
      <c r="M741" s="306">
        <f t="shared" ca="1" si="335"/>
        <v>1.1757312785872935</v>
      </c>
      <c r="N741" s="304">
        <f t="shared" ca="1" si="336"/>
        <v>67.364440104571941</v>
      </c>
      <c r="P741" s="310">
        <f t="shared" ca="1" si="337"/>
        <v>22</v>
      </c>
      <c r="Q741" s="304">
        <f t="shared" ca="1" si="338"/>
        <v>0</v>
      </c>
      <c r="R741" s="306">
        <f t="shared" ca="1" si="339"/>
        <v>0</v>
      </c>
      <c r="S741" s="307">
        <f t="shared" ca="1" si="340"/>
        <v>15.089040186296437</v>
      </c>
      <c r="T741" s="304">
        <f t="shared" ca="1" si="320"/>
        <v>148.02348422756805</v>
      </c>
      <c r="U741" s="311">
        <f t="shared" ca="1" si="321"/>
        <v>0</v>
      </c>
      <c r="V741" s="306">
        <f t="shared" ca="1" si="322"/>
        <v>1.0217419513174126</v>
      </c>
      <c r="W741" s="304">
        <f t="shared" ca="1" si="323"/>
        <v>1083.0469809672566</v>
      </c>
      <c r="Y741" s="314" t="str">
        <f t="shared" ca="1" si="341"/>
        <v/>
      </c>
      <c r="Z741" s="315" t="str">
        <f t="shared" ca="1" si="342"/>
        <v/>
      </c>
      <c r="AA741" s="316" t="str">
        <f t="shared" ca="1" si="343"/>
        <v/>
      </c>
      <c r="AC741" s="310" t="e">
        <f t="shared" ca="1" si="344"/>
        <v>#N/A</v>
      </c>
      <c r="AD741" s="323" t="e">
        <f t="shared" ca="1" si="345"/>
        <v>#N/A</v>
      </c>
      <c r="AE741" s="324">
        <f t="shared" ca="1" si="324"/>
        <v>1809.3582003345207</v>
      </c>
      <c r="AG741" s="306">
        <f t="shared" ca="1" si="346"/>
        <v>-81.133766065833029</v>
      </c>
      <c r="AH741" s="304">
        <f t="shared" ca="1" si="347"/>
        <v>-72.079081160690166</v>
      </c>
    </row>
    <row r="742" spans="1:34" x14ac:dyDescent="0.2">
      <c r="A742" s="347">
        <f t="shared" ca="1" si="325"/>
        <v>0.01</v>
      </c>
      <c r="B742" s="304">
        <f t="shared" ca="1" si="326"/>
        <v>7.3799999999998871</v>
      </c>
      <c r="D742" s="306">
        <f t="shared" ca="1" si="327"/>
        <v>-27.624710814241297</v>
      </c>
      <c r="E742" s="307">
        <f t="shared" ca="1" si="328"/>
        <v>-76.058185317364703</v>
      </c>
      <c r="F742" s="304">
        <f t="shared" ca="1" si="329"/>
        <v>80.919541529478849</v>
      </c>
      <c r="G742" s="306">
        <f t="shared" ca="1" si="330"/>
        <v>163.84007125412202</v>
      </c>
      <c r="H742" s="307">
        <f t="shared" ca="1" si="331"/>
        <v>392.8148783779572</v>
      </c>
      <c r="I742" s="304">
        <f t="shared" ca="1" si="332"/>
        <v>425.61378927807908</v>
      </c>
      <c r="J742" s="306">
        <f t="shared" ca="1" si="333"/>
        <v>703.33561744281735</v>
      </c>
      <c r="K742" s="307">
        <f t="shared" ca="1" si="334"/>
        <v>1813.2901520275661</v>
      </c>
      <c r="L742" s="304">
        <f t="shared" ca="1" si="319"/>
        <v>1944.9170075362658</v>
      </c>
      <c r="M742" s="306">
        <f t="shared" ca="1" si="335"/>
        <v>1.1756425700583515</v>
      </c>
      <c r="N742" s="304">
        <f t="shared" ca="1" si="336"/>
        <v>67.359357480256747</v>
      </c>
      <c r="P742" s="310">
        <f t="shared" ca="1" si="337"/>
        <v>22</v>
      </c>
      <c r="Q742" s="304">
        <f t="shared" ca="1" si="338"/>
        <v>0</v>
      </c>
      <c r="R742" s="306">
        <f t="shared" ca="1" si="339"/>
        <v>0</v>
      </c>
      <c r="S742" s="307">
        <f t="shared" ca="1" si="340"/>
        <v>15.089040186296437</v>
      </c>
      <c r="T742" s="304">
        <f t="shared" ca="1" si="320"/>
        <v>148.02348422756805</v>
      </c>
      <c r="U742" s="311">
        <f t="shared" ca="1" si="321"/>
        <v>0</v>
      </c>
      <c r="V742" s="306">
        <f t="shared" ca="1" si="322"/>
        <v>1.0213369651480753</v>
      </c>
      <c r="W742" s="304">
        <f t="shared" ca="1" si="323"/>
        <v>1078.5172326815739</v>
      </c>
      <c r="Y742" s="314" t="str">
        <f t="shared" ca="1" si="341"/>
        <v/>
      </c>
      <c r="Z742" s="315" t="str">
        <f t="shared" ca="1" si="342"/>
        <v/>
      </c>
      <c r="AA742" s="316" t="str">
        <f t="shared" ca="1" si="343"/>
        <v/>
      </c>
      <c r="AC742" s="310" t="e">
        <f t="shared" ca="1" si="344"/>
        <v>#N/A</v>
      </c>
      <c r="AD742" s="323" t="e">
        <f t="shared" ca="1" si="345"/>
        <v>#N/A</v>
      </c>
      <c r="AE742" s="324">
        <f t="shared" ca="1" si="324"/>
        <v>1813.2901520275661</v>
      </c>
      <c r="AG742" s="306">
        <f t="shared" ca="1" si="346"/>
        <v>-80.831413252174869</v>
      </c>
      <c r="AH742" s="304">
        <f t="shared" ca="1" si="347"/>
        <v>-71.7770625298525</v>
      </c>
    </row>
    <row r="743" spans="1:34" x14ac:dyDescent="0.2">
      <c r="A743" s="347">
        <f t="shared" ca="1" si="325"/>
        <v>0.01</v>
      </c>
      <c r="B743" s="304">
        <f t="shared" ca="1" si="326"/>
        <v>7.3899999999998869</v>
      </c>
      <c r="D743" s="306">
        <f t="shared" ca="1" si="327"/>
        <v>-27.515024994252094</v>
      </c>
      <c r="E743" s="307">
        <f t="shared" ca="1" si="328"/>
        <v>-75.778667579004534</v>
      </c>
      <c r="F743" s="304">
        <f t="shared" ca="1" si="329"/>
        <v>80.619371496456054</v>
      </c>
      <c r="G743" s="306">
        <f t="shared" ca="1" si="330"/>
        <v>163.5649210041795</v>
      </c>
      <c r="H743" s="307">
        <f t="shared" ca="1" si="331"/>
        <v>392.05709170216716</v>
      </c>
      <c r="I743" s="304">
        <f t="shared" ca="1" si="332"/>
        <v>424.80848218587278</v>
      </c>
      <c r="J743" s="306">
        <f t="shared" ca="1" si="333"/>
        <v>704.97264240410891</v>
      </c>
      <c r="K743" s="307">
        <f t="shared" ca="1" si="334"/>
        <v>1817.2145118779667</v>
      </c>
      <c r="L743" s="304">
        <f t="shared" ca="1" si="319"/>
        <v>1949.1677733633164</v>
      </c>
      <c r="M743" s="306">
        <f t="shared" ca="1" si="335"/>
        <v>1.1755536744581905</v>
      </c>
      <c r="N743" s="304">
        <f t="shared" ca="1" si="336"/>
        <v>67.354264137550231</v>
      </c>
      <c r="P743" s="310">
        <f t="shared" ca="1" si="337"/>
        <v>22</v>
      </c>
      <c r="Q743" s="304">
        <f t="shared" ca="1" si="338"/>
        <v>0</v>
      </c>
      <c r="R743" s="306">
        <f t="shared" ca="1" si="339"/>
        <v>0</v>
      </c>
      <c r="S743" s="307">
        <f t="shared" ca="1" si="340"/>
        <v>15.089040186296437</v>
      </c>
      <c r="T743" s="304">
        <f t="shared" ca="1" si="320"/>
        <v>148.02348422756805</v>
      </c>
      <c r="U743" s="311">
        <f t="shared" ca="1" si="321"/>
        <v>0</v>
      </c>
      <c r="V743" s="306">
        <f t="shared" ca="1" si="322"/>
        <v>1.0209329064818466</v>
      </c>
      <c r="W743" s="304">
        <f t="shared" ca="1" si="323"/>
        <v>1074.0146854575485</v>
      </c>
      <c r="Y743" s="314" t="str">
        <f t="shared" ca="1" si="341"/>
        <v/>
      </c>
      <c r="Z743" s="315" t="str">
        <f t="shared" ca="1" si="342"/>
        <v/>
      </c>
      <c r="AA743" s="316" t="str">
        <f t="shared" ca="1" si="343"/>
        <v/>
      </c>
      <c r="AC743" s="310" t="e">
        <f t="shared" ca="1" si="344"/>
        <v>#N/A</v>
      </c>
      <c r="AD743" s="323" t="e">
        <f t="shared" ca="1" si="345"/>
        <v>#N/A</v>
      </c>
      <c r="AE743" s="324">
        <f t="shared" ca="1" si="324"/>
        <v>1817.2145118779667</v>
      </c>
      <c r="AG743" s="306">
        <f t="shared" ca="1" si="346"/>
        <v>-80.530877071545191</v>
      </c>
      <c r="AH743" s="304">
        <f t="shared" ca="1" si="347"/>
        <v>-71.476861308982507</v>
      </c>
    </row>
    <row r="744" spans="1:34" x14ac:dyDescent="0.2">
      <c r="A744" s="347">
        <f t="shared" ca="1" si="325"/>
        <v>0.01</v>
      </c>
      <c r="B744" s="304">
        <f t="shared" ca="1" si="326"/>
        <v>7.3999999999998867</v>
      </c>
      <c r="D744" s="306">
        <f t="shared" ca="1" si="327"/>
        <v>-27.405996188590098</v>
      </c>
      <c r="E744" s="307">
        <f t="shared" ca="1" si="328"/>
        <v>-75.500828418061317</v>
      </c>
      <c r="F744" s="304">
        <f t="shared" ca="1" si="329"/>
        <v>80.321004219958255</v>
      </c>
      <c r="G744" s="306">
        <f t="shared" ca="1" si="330"/>
        <v>163.29086104229359</v>
      </c>
      <c r="H744" s="307">
        <f t="shared" ca="1" si="331"/>
        <v>391.30208341798652</v>
      </c>
      <c r="I744" s="304">
        <f t="shared" ca="1" si="332"/>
        <v>424.00616244011184</v>
      </c>
      <c r="J744" s="306">
        <f t="shared" ca="1" si="333"/>
        <v>706.60692131434132</v>
      </c>
      <c r="K744" s="307">
        <f t="shared" ca="1" si="334"/>
        <v>1821.1313077535674</v>
      </c>
      <c r="L744" s="304">
        <f t="shared" ca="1" si="319"/>
        <v>1953.4104999537476</v>
      </c>
      <c r="M744" s="306">
        <f t="shared" ca="1" si="335"/>
        <v>1.1754645916645996</v>
      </c>
      <c r="N744" s="304">
        <f t="shared" ca="1" si="336"/>
        <v>67.349160069450249</v>
      </c>
      <c r="P744" s="310">
        <f t="shared" ca="1" si="337"/>
        <v>22</v>
      </c>
      <c r="Q744" s="304">
        <f t="shared" ca="1" si="338"/>
        <v>0</v>
      </c>
      <c r="R744" s="306">
        <f t="shared" ca="1" si="339"/>
        <v>0</v>
      </c>
      <c r="S744" s="307">
        <f t="shared" ca="1" si="340"/>
        <v>15.089040186296437</v>
      </c>
      <c r="T744" s="304">
        <f t="shared" ca="1" si="320"/>
        <v>148.02348422756805</v>
      </c>
      <c r="U744" s="311">
        <f t="shared" ca="1" si="321"/>
        <v>0</v>
      </c>
      <c r="V744" s="306">
        <f t="shared" ca="1" si="322"/>
        <v>1.0205297715288086</v>
      </c>
      <c r="W744" s="304">
        <f t="shared" ca="1" si="323"/>
        <v>1069.5391196422265</v>
      </c>
      <c r="Y744" s="314" t="str">
        <f t="shared" ca="1" si="341"/>
        <v/>
      </c>
      <c r="Z744" s="315" t="str">
        <f t="shared" ca="1" si="342"/>
        <v/>
      </c>
      <c r="AA744" s="316" t="str">
        <f t="shared" ca="1" si="343"/>
        <v/>
      </c>
      <c r="AC744" s="310" t="e">
        <f t="shared" ca="1" si="344"/>
        <v>#N/A</v>
      </c>
      <c r="AD744" s="323" t="e">
        <f t="shared" ca="1" si="345"/>
        <v>#N/A</v>
      </c>
      <c r="AE744" s="324">
        <f t="shared" ca="1" si="324"/>
        <v>1821.1313077535674</v>
      </c>
      <c r="AG744" s="306">
        <f t="shared" ca="1" si="346"/>
        <v>-80.2321428163105</v>
      </c>
      <c r="AH744" s="304">
        <f t="shared" ca="1" si="347"/>
        <v>-71.17846279135415</v>
      </c>
    </row>
    <row r="745" spans="1:34" x14ac:dyDescent="0.2">
      <c r="A745" s="347">
        <f t="shared" ca="1" si="325"/>
        <v>0.01</v>
      </c>
      <c r="B745" s="304">
        <f t="shared" ca="1" si="326"/>
        <v>7.4099999999998865</v>
      </c>
      <c r="D745" s="306">
        <f t="shared" ca="1" si="327"/>
        <v>-27.297619089544803</v>
      </c>
      <c r="E745" s="307">
        <f t="shared" ca="1" si="328"/>
        <v>-75.22465427953658</v>
      </c>
      <c r="F745" s="304">
        <f t="shared" ca="1" si="329"/>
        <v>80.024425142788019</v>
      </c>
      <c r="G745" s="306">
        <f t="shared" ca="1" si="330"/>
        <v>163.01788485139815</v>
      </c>
      <c r="H745" s="307">
        <f t="shared" ca="1" si="331"/>
        <v>390.54983687519115</v>
      </c>
      <c r="I745" s="304">
        <f t="shared" ca="1" si="332"/>
        <v>423.20681216712723</v>
      </c>
      <c r="J745" s="306">
        <f t="shared" ca="1" si="333"/>
        <v>708.23846504380981</v>
      </c>
      <c r="K745" s="307">
        <f t="shared" ca="1" si="334"/>
        <v>1825.0405673550333</v>
      </c>
      <c r="L745" s="304">
        <f t="shared" ca="1" si="319"/>
        <v>1957.6452170552236</v>
      </c>
      <c r="M745" s="306">
        <f t="shared" ca="1" si="335"/>
        <v>1.1753753215548441</v>
      </c>
      <c r="N745" s="304">
        <f t="shared" ca="1" si="336"/>
        <v>67.344045268924589</v>
      </c>
      <c r="P745" s="310">
        <f t="shared" ca="1" si="337"/>
        <v>22</v>
      </c>
      <c r="Q745" s="304">
        <f t="shared" ca="1" si="338"/>
        <v>0</v>
      </c>
      <c r="R745" s="306">
        <f t="shared" ca="1" si="339"/>
        <v>0</v>
      </c>
      <c r="S745" s="307">
        <f t="shared" ca="1" si="340"/>
        <v>15.089040186296437</v>
      </c>
      <c r="T745" s="304">
        <f t="shared" ca="1" si="320"/>
        <v>148.02348422756805</v>
      </c>
      <c r="U745" s="311">
        <f t="shared" ca="1" si="321"/>
        <v>0</v>
      </c>
      <c r="V745" s="306">
        <f t="shared" ca="1" si="322"/>
        <v>1.0201275565229471</v>
      </c>
      <c r="W745" s="304">
        <f t="shared" ca="1" si="323"/>
        <v>1065.0903178124468</v>
      </c>
      <c r="Y745" s="314" t="str">
        <f t="shared" ca="1" si="341"/>
        <v/>
      </c>
      <c r="Z745" s="315" t="str">
        <f t="shared" ca="1" si="342"/>
        <v/>
      </c>
      <c r="AA745" s="316" t="str">
        <f t="shared" ca="1" si="343"/>
        <v/>
      </c>
      <c r="AC745" s="310" t="e">
        <f t="shared" ca="1" si="344"/>
        <v>#N/A</v>
      </c>
      <c r="AD745" s="323" t="e">
        <f t="shared" ca="1" si="345"/>
        <v>#N/A</v>
      </c>
      <c r="AE745" s="324">
        <f t="shared" ca="1" si="324"/>
        <v>1825.0405673550333</v>
      </c>
      <c r="AG745" s="306">
        <f t="shared" ca="1" si="346"/>
        <v>-79.935195928441047</v>
      </c>
      <c r="AH745" s="304">
        <f t="shared" ca="1" si="347"/>
        <v>-70.881852419848443</v>
      </c>
    </row>
    <row r="746" spans="1:34" x14ac:dyDescent="0.2">
      <c r="A746" s="347">
        <f t="shared" ca="1" si="325"/>
        <v>0.01</v>
      </c>
      <c r="B746" s="304">
        <f t="shared" ca="1" si="326"/>
        <v>7.4199999999998862</v>
      </c>
      <c r="D746" s="306">
        <f t="shared" ca="1" si="327"/>
        <v>-27.189888443285902</v>
      </c>
      <c r="E746" s="307">
        <f t="shared" ca="1" si="328"/>
        <v>-74.950131746034486</v>
      </c>
      <c r="F746" s="304">
        <f t="shared" ca="1" si="329"/>
        <v>79.729619855523325</v>
      </c>
      <c r="G746" s="306">
        <f t="shared" ca="1" si="330"/>
        <v>162.74598596696529</v>
      </c>
      <c r="H746" s="307">
        <f t="shared" ca="1" si="331"/>
        <v>389.80033555773082</v>
      </c>
      <c r="I746" s="304">
        <f t="shared" ca="1" si="332"/>
        <v>422.41041363735246</v>
      </c>
      <c r="J746" s="306">
        <f t="shared" ca="1" si="333"/>
        <v>709.86728439790159</v>
      </c>
      <c r="K746" s="307">
        <f t="shared" ca="1" si="334"/>
        <v>1828.9423182171979</v>
      </c>
      <c r="L746" s="304">
        <f t="shared" ca="1" si="319"/>
        <v>1961.8719542376227</v>
      </c>
      <c r="M746" s="306">
        <f t="shared" ca="1" si="335"/>
        <v>1.1752858640056674</v>
      </c>
      <c r="N746" s="304">
        <f t="shared" ca="1" si="336"/>
        <v>67.338919728911179</v>
      </c>
      <c r="P746" s="310">
        <f t="shared" ca="1" si="337"/>
        <v>22</v>
      </c>
      <c r="Q746" s="304">
        <f t="shared" ca="1" si="338"/>
        <v>0</v>
      </c>
      <c r="R746" s="306">
        <f t="shared" ca="1" si="339"/>
        <v>0</v>
      </c>
      <c r="S746" s="307">
        <f t="shared" ca="1" si="340"/>
        <v>15.089040186296437</v>
      </c>
      <c r="T746" s="304">
        <f t="shared" ca="1" si="320"/>
        <v>148.02348422756805</v>
      </c>
      <c r="U746" s="311">
        <f t="shared" ca="1" si="321"/>
        <v>0</v>
      </c>
      <c r="V746" s="306">
        <f t="shared" ca="1" si="322"/>
        <v>1.0197262577219499</v>
      </c>
      <c r="W746" s="304">
        <f t="shared" ca="1" si="323"/>
        <v>1060.6680647476016</v>
      </c>
      <c r="Y746" s="314" t="str">
        <f t="shared" ca="1" si="341"/>
        <v/>
      </c>
      <c r="Z746" s="315" t="str">
        <f t="shared" ca="1" si="342"/>
        <v/>
      </c>
      <c r="AA746" s="316" t="str">
        <f t="shared" ca="1" si="343"/>
        <v/>
      </c>
      <c r="AC746" s="310" t="e">
        <f t="shared" ca="1" si="344"/>
        <v>#N/A</v>
      </c>
      <c r="AD746" s="323" t="e">
        <f t="shared" ca="1" si="345"/>
        <v>#N/A</v>
      </c>
      <c r="AE746" s="324">
        <f t="shared" ca="1" si="324"/>
        <v>1828.9423182171979</v>
      </c>
      <c r="AG746" s="306">
        <f t="shared" ca="1" si="346"/>
        <v>-79.640021997679412</v>
      </c>
      <c r="AH746" s="304">
        <f t="shared" ca="1" si="347"/>
        <v>-70.587015785121991</v>
      </c>
    </row>
    <row r="747" spans="1:34" x14ac:dyDescent="0.2">
      <c r="A747" s="347">
        <f t="shared" ca="1" si="325"/>
        <v>0.01</v>
      </c>
      <c r="B747" s="304">
        <f t="shared" ca="1" si="326"/>
        <v>7.429999999999886</v>
      </c>
      <c r="D747" s="306">
        <f t="shared" ca="1" si="327"/>
        <v>-27.08279904920499</v>
      </c>
      <c r="E747" s="307">
        <f t="shared" ca="1" si="328"/>
        <v>-74.677247536080984</v>
      </c>
      <c r="F747" s="304">
        <f t="shared" ca="1" si="329"/>
        <v>79.436574094712398</v>
      </c>
      <c r="G747" s="306">
        <f t="shared" ca="1" si="330"/>
        <v>162.47515797647324</v>
      </c>
      <c r="H747" s="307">
        <f t="shared" ca="1" si="331"/>
        <v>389.05356308237003</v>
      </c>
      <c r="I747" s="304">
        <f t="shared" ca="1" si="332"/>
        <v>421.61694926386394</v>
      </c>
      <c r="J747" s="306">
        <f t="shared" ca="1" si="333"/>
        <v>711.49339011761879</v>
      </c>
      <c r="K747" s="307">
        <f t="shared" ca="1" si="334"/>
        <v>1832.8365877103984</v>
      </c>
      <c r="L747" s="304">
        <f t="shared" ca="1" si="319"/>
        <v>1966.0907408944681</v>
      </c>
      <c r="M747" s="306">
        <f t="shared" ca="1" si="335"/>
        <v>1.1751962188932894</v>
      </c>
      <c r="N747" s="304">
        <f t="shared" ca="1" si="336"/>
        <v>67.333783442317937</v>
      </c>
      <c r="P747" s="310">
        <f t="shared" ca="1" si="337"/>
        <v>22</v>
      </c>
      <c r="Q747" s="304">
        <f t="shared" ca="1" si="338"/>
        <v>0</v>
      </c>
      <c r="R747" s="306">
        <f t="shared" ca="1" si="339"/>
        <v>0</v>
      </c>
      <c r="S747" s="307">
        <f t="shared" ca="1" si="340"/>
        <v>15.089040186296437</v>
      </c>
      <c r="T747" s="304">
        <f t="shared" ca="1" si="320"/>
        <v>148.02348422756805</v>
      </c>
      <c r="U747" s="311">
        <f t="shared" ca="1" si="321"/>
        <v>0</v>
      </c>
      <c r="V747" s="306">
        <f t="shared" ca="1" si="322"/>
        <v>1.0193258714070108</v>
      </c>
      <c r="W747" s="304">
        <f t="shared" ca="1" si="323"/>
        <v>1056.2721474027876</v>
      </c>
      <c r="Y747" s="314" t="str">
        <f t="shared" ca="1" si="341"/>
        <v/>
      </c>
      <c r="Z747" s="315" t="str">
        <f t="shared" ca="1" si="342"/>
        <v/>
      </c>
      <c r="AA747" s="316" t="str">
        <f t="shared" ca="1" si="343"/>
        <v/>
      </c>
      <c r="AC747" s="310" t="e">
        <f t="shared" ca="1" si="344"/>
        <v>#N/A</v>
      </c>
      <c r="AD747" s="323" t="e">
        <f t="shared" ca="1" si="345"/>
        <v>#N/A</v>
      </c>
      <c r="AE747" s="324">
        <f t="shared" ca="1" si="324"/>
        <v>1832.8365877103984</v>
      </c>
      <c r="AG747" s="306">
        <f t="shared" ca="1" si="346"/>
        <v>-79.346606759735337</v>
      </c>
      <c r="AH747" s="304">
        <f t="shared" ca="1" si="347"/>
        <v>-70.293938623801864</v>
      </c>
    </row>
    <row r="748" spans="1:34" x14ac:dyDescent="0.2">
      <c r="A748" s="347">
        <f t="shared" ca="1" si="325"/>
        <v>0.01</v>
      </c>
      <c r="B748" s="304">
        <f t="shared" ca="1" si="326"/>
        <v>7.4399999999998858</v>
      </c>
      <c r="D748" s="306">
        <f t="shared" ca="1" si="327"/>
        <v>-26.976345759266859</v>
      </c>
      <c r="E748" s="307">
        <f t="shared" ca="1" si="328"/>
        <v>-74.405988502466897</v>
      </c>
      <c r="F748" s="304">
        <f t="shared" ca="1" si="329"/>
        <v>79.1452737410943</v>
      </c>
      <c r="G748" s="306">
        <f t="shared" ca="1" si="330"/>
        <v>162.20539451888058</v>
      </c>
      <c r="H748" s="307">
        <f t="shared" ca="1" si="331"/>
        <v>388.30950319734535</v>
      </c>
      <c r="I748" s="304">
        <f t="shared" ca="1" si="332"/>
        <v>420.82640160093905</v>
      </c>
      <c r="J748" s="306">
        <f t="shared" ca="1" si="333"/>
        <v>713.11679288009555</v>
      </c>
      <c r="K748" s="307">
        <f t="shared" ca="1" si="334"/>
        <v>1836.7234030417969</v>
      </c>
      <c r="L748" s="304">
        <f t="shared" ca="1" si="319"/>
        <v>1970.3016062443414</v>
      </c>
      <c r="M748" s="306">
        <f t="shared" ca="1" si="335"/>
        <v>1.1751063860934072</v>
      </c>
      <c r="N748" s="304">
        <f t="shared" ca="1" si="336"/>
        <v>67.328636402022852</v>
      </c>
      <c r="P748" s="310">
        <f t="shared" ca="1" si="337"/>
        <v>22</v>
      </c>
      <c r="Q748" s="304">
        <f t="shared" ca="1" si="338"/>
        <v>0</v>
      </c>
      <c r="R748" s="306">
        <f t="shared" ca="1" si="339"/>
        <v>0</v>
      </c>
      <c r="S748" s="307">
        <f t="shared" ca="1" si="340"/>
        <v>15.089040186296437</v>
      </c>
      <c r="T748" s="304">
        <f t="shared" ca="1" si="320"/>
        <v>148.02348422756805</v>
      </c>
      <c r="U748" s="311">
        <f t="shared" ca="1" si="321"/>
        <v>0</v>
      </c>
      <c r="V748" s="306">
        <f t="shared" ca="1" si="322"/>
        <v>1.0189263938826296</v>
      </c>
      <c r="W748" s="304">
        <f t="shared" ca="1" si="323"/>
        <v>1051.9023548823354</v>
      </c>
      <c r="Y748" s="314" t="str">
        <f t="shared" ca="1" si="341"/>
        <v/>
      </c>
      <c r="Z748" s="315" t="str">
        <f t="shared" ca="1" si="342"/>
        <v/>
      </c>
      <c r="AA748" s="316" t="str">
        <f t="shared" ca="1" si="343"/>
        <v/>
      </c>
      <c r="AC748" s="310" t="e">
        <f t="shared" ca="1" si="344"/>
        <v>#N/A</v>
      </c>
      <c r="AD748" s="323" t="e">
        <f t="shared" ca="1" si="345"/>
        <v>#N/A</v>
      </c>
      <c r="AE748" s="324">
        <f t="shared" ca="1" si="324"/>
        <v>1836.7234030417969</v>
      </c>
      <c r="AG748" s="306">
        <f t="shared" ca="1" si="346"/>
        <v>-79.05493609450626</v>
      </c>
      <c r="AH748" s="304">
        <f t="shared" ca="1" si="347"/>
        <v>-70.00260681670612</v>
      </c>
    </row>
    <row r="749" spans="1:34" x14ac:dyDescent="0.2">
      <c r="A749" s="347">
        <f t="shared" ca="1" si="325"/>
        <v>0.01</v>
      </c>
      <c r="B749" s="304">
        <f t="shared" ca="1" si="326"/>
        <v>7.4499999999998856</v>
      </c>
      <c r="D749" s="306">
        <f t="shared" ca="1" si="327"/>
        <v>-26.870523477369865</v>
      </c>
      <c r="E749" s="307">
        <f t="shared" ca="1" si="328"/>
        <v>-74.136341630614382</v>
      </c>
      <c r="F749" s="304">
        <f t="shared" ca="1" si="329"/>
        <v>78.855704817844682</v>
      </c>
      <c r="G749" s="306">
        <f t="shared" ca="1" si="330"/>
        <v>161.93668928410688</v>
      </c>
      <c r="H749" s="307">
        <f t="shared" ca="1" si="331"/>
        <v>387.56813978103918</v>
      </c>
      <c r="I749" s="304">
        <f t="shared" ca="1" si="332"/>
        <v>420.03875334263211</v>
      </c>
      <c r="J749" s="306">
        <f t="shared" ca="1" si="333"/>
        <v>714.73750329911047</v>
      </c>
      <c r="K749" s="307">
        <f t="shared" ca="1" si="334"/>
        <v>1840.6027912566888</v>
      </c>
      <c r="L749" s="304">
        <f t="shared" ca="1" si="319"/>
        <v>1974.5045793322838</v>
      </c>
      <c r="M749" s="306">
        <f t="shared" ca="1" si="335"/>
        <v>1.1750163654811951</v>
      </c>
      <c r="N749" s="304">
        <f t="shared" ca="1" si="336"/>
        <v>67.323478600873912</v>
      </c>
      <c r="P749" s="310">
        <f t="shared" ca="1" si="337"/>
        <v>22</v>
      </c>
      <c r="Q749" s="304">
        <f t="shared" ca="1" si="338"/>
        <v>0</v>
      </c>
      <c r="R749" s="306">
        <f t="shared" ca="1" si="339"/>
        <v>0</v>
      </c>
      <c r="S749" s="307">
        <f t="shared" ca="1" si="340"/>
        <v>15.089040186296437</v>
      </c>
      <c r="T749" s="304">
        <f t="shared" ca="1" si="320"/>
        <v>148.02348422756805</v>
      </c>
      <c r="U749" s="311">
        <f t="shared" ca="1" si="321"/>
        <v>0</v>
      </c>
      <c r="V749" s="306">
        <f t="shared" ca="1" si="322"/>
        <v>1.0185278214764228</v>
      </c>
      <c r="W749" s="304">
        <f t="shared" ca="1" si="323"/>
        <v>1047.5584784137252</v>
      </c>
      <c r="Y749" s="314" t="str">
        <f t="shared" ca="1" si="341"/>
        <v/>
      </c>
      <c r="Z749" s="315" t="str">
        <f t="shared" ca="1" si="342"/>
        <v/>
      </c>
      <c r="AA749" s="316" t="str">
        <f t="shared" ca="1" si="343"/>
        <v/>
      </c>
      <c r="AC749" s="310" t="e">
        <f t="shared" ca="1" si="344"/>
        <v>#N/A</v>
      </c>
      <c r="AD749" s="323" t="e">
        <f t="shared" ca="1" si="345"/>
        <v>#N/A</v>
      </c>
      <c r="AE749" s="324">
        <f t="shared" ca="1" si="324"/>
        <v>1840.6027912566888</v>
      </c>
      <c r="AG749" s="306">
        <f t="shared" ca="1" si="346"/>
        <v>-78.764996024323111</v>
      </c>
      <c r="AH749" s="304">
        <f t="shared" ca="1" si="347"/>
        <v>-69.713006387089621</v>
      </c>
    </row>
    <row r="750" spans="1:34" x14ac:dyDescent="0.2">
      <c r="A750" s="347">
        <f t="shared" ca="1" si="325"/>
        <v>0.01</v>
      </c>
      <c r="B750" s="304">
        <f t="shared" ca="1" si="326"/>
        <v>7.4599999999998854</v>
      </c>
      <c r="D750" s="306">
        <f t="shared" ca="1" si="327"/>
        <v>-26.765327158715586</v>
      </c>
      <c r="E750" s="307">
        <f t="shared" ca="1" si="328"/>
        <v>-73.868294036967256</v>
      </c>
      <c r="F750" s="304">
        <f t="shared" ca="1" si="329"/>
        <v>78.567853488847021</v>
      </c>
      <c r="G750" s="306">
        <f t="shared" ca="1" si="330"/>
        <v>161.66903601251971</v>
      </c>
      <c r="H750" s="307">
        <f t="shared" ca="1" si="331"/>
        <v>386.82945684066948</v>
      </c>
      <c r="I750" s="304">
        <f t="shared" ca="1" si="332"/>
        <v>419.25398732136676</v>
      </c>
      <c r="J750" s="306">
        <f t="shared" ca="1" si="333"/>
        <v>716.3555319255936</v>
      </c>
      <c r="K750" s="307">
        <f t="shared" ca="1" si="334"/>
        <v>1844.4747792397973</v>
      </c>
      <c r="L750" s="304">
        <f t="shared" ca="1" si="319"/>
        <v>1978.6996890311827</v>
      </c>
      <c r="M750" s="306">
        <f t="shared" ca="1" si="335"/>
        <v>1.1749261569313045</v>
      </c>
      <c r="N750" s="304">
        <f t="shared" ca="1" si="336"/>
        <v>67.31831003168918</v>
      </c>
      <c r="P750" s="310">
        <f t="shared" ca="1" si="337"/>
        <v>22</v>
      </c>
      <c r="Q750" s="304">
        <f t="shared" ca="1" si="338"/>
        <v>0</v>
      </c>
      <c r="R750" s="306">
        <f t="shared" ca="1" si="339"/>
        <v>0</v>
      </c>
      <c r="S750" s="307">
        <f t="shared" ca="1" si="340"/>
        <v>15.089040186296437</v>
      </c>
      <c r="T750" s="304">
        <f t="shared" ca="1" si="320"/>
        <v>148.02348422756805</v>
      </c>
      <c r="U750" s="311">
        <f t="shared" ca="1" si="321"/>
        <v>0</v>
      </c>
      <c r="V750" s="306">
        <f t="shared" ca="1" si="322"/>
        <v>1.0181301505389289</v>
      </c>
      <c r="W750" s="304">
        <f t="shared" ca="1" si="323"/>
        <v>1043.2403113218584</v>
      </c>
      <c r="Y750" s="314" t="str">
        <f t="shared" ca="1" si="341"/>
        <v/>
      </c>
      <c r="Z750" s="315" t="str">
        <f t="shared" ca="1" si="342"/>
        <v/>
      </c>
      <c r="AA750" s="316" t="str">
        <f t="shared" ca="1" si="343"/>
        <v/>
      </c>
      <c r="AC750" s="310" t="e">
        <f t="shared" ca="1" si="344"/>
        <v>#N/A</v>
      </c>
      <c r="AD750" s="323" t="e">
        <f t="shared" ca="1" si="345"/>
        <v>#N/A</v>
      </c>
      <c r="AE750" s="324">
        <f t="shared" ca="1" si="324"/>
        <v>1844.4747792397973</v>
      </c>
      <c r="AG750" s="306">
        <f t="shared" ca="1" si="346"/>
        <v>-78.476772712221546</v>
      </c>
      <c r="AH750" s="304">
        <f t="shared" ca="1" si="347"/>
        <v>-69.425123498915241</v>
      </c>
    </row>
    <row r="751" spans="1:34" x14ac:dyDescent="0.2">
      <c r="A751" s="347">
        <f t="shared" ca="1" si="325"/>
        <v>0.01</v>
      </c>
      <c r="B751" s="304">
        <f t="shared" ca="1" si="326"/>
        <v>7.4699999999998852</v>
      </c>
      <c r="D751" s="306">
        <f t="shared" ca="1" si="327"/>
        <v>-26.660751809187165</v>
      </c>
      <c r="E751" s="307">
        <f t="shared" ca="1" si="328"/>
        <v>-73.601832967403297</v>
      </c>
      <c r="F751" s="304">
        <f t="shared" ca="1" si="329"/>
        <v>78.281706056987616</v>
      </c>
      <c r="G751" s="306">
        <f t="shared" ca="1" si="330"/>
        <v>161.40242849442785</v>
      </c>
      <c r="H751" s="307">
        <f t="shared" ca="1" si="331"/>
        <v>386.09343851099544</v>
      </c>
      <c r="I751" s="304">
        <f t="shared" ca="1" si="332"/>
        <v>418.4720865065467</v>
      </c>
      <c r="J751" s="306">
        <f t="shared" ca="1" si="333"/>
        <v>717.97088924812829</v>
      </c>
      <c r="K751" s="307">
        <f t="shared" ca="1" si="334"/>
        <v>1848.3393937165556</v>
      </c>
      <c r="L751" s="304">
        <f t="shared" ca="1" si="319"/>
        <v>1982.8869640431431</v>
      </c>
      <c r="M751" s="306">
        <f t="shared" ca="1" si="335"/>
        <v>1.1748357603178632</v>
      </c>
      <c r="N751" s="304">
        <f t="shared" ca="1" si="336"/>
        <v>67.313130687256717</v>
      </c>
      <c r="P751" s="310">
        <f t="shared" ca="1" si="337"/>
        <v>22</v>
      </c>
      <c r="Q751" s="304">
        <f t="shared" ca="1" si="338"/>
        <v>0</v>
      </c>
      <c r="R751" s="306">
        <f t="shared" ca="1" si="339"/>
        <v>0</v>
      </c>
      <c r="S751" s="307">
        <f t="shared" ca="1" si="340"/>
        <v>15.089040186296437</v>
      </c>
      <c r="T751" s="304">
        <f t="shared" ca="1" si="320"/>
        <v>148.02348422756805</v>
      </c>
      <c r="U751" s="311">
        <f t="shared" ca="1" si="321"/>
        <v>0</v>
      </c>
      <c r="V751" s="306">
        <f t="shared" ca="1" si="322"/>
        <v>1.0177333774434176</v>
      </c>
      <c r="W751" s="304">
        <f t="shared" ca="1" si="323"/>
        <v>1038.9476490037066</v>
      </c>
      <c r="Y751" s="314" t="str">
        <f t="shared" ca="1" si="341"/>
        <v/>
      </c>
      <c r="Z751" s="315" t="str">
        <f t="shared" ca="1" si="342"/>
        <v/>
      </c>
      <c r="AA751" s="316" t="str">
        <f t="shared" ca="1" si="343"/>
        <v/>
      </c>
      <c r="AC751" s="310" t="e">
        <f t="shared" ca="1" si="344"/>
        <v>#N/A</v>
      </c>
      <c r="AD751" s="323" t="e">
        <f t="shared" ca="1" si="345"/>
        <v>#N/A</v>
      </c>
      <c r="AE751" s="324">
        <f t="shared" ca="1" si="324"/>
        <v>1848.3393937165556</v>
      </c>
      <c r="AG751" s="306">
        <f t="shared" ca="1" si="346"/>
        <v>-78.190252460236906</v>
      </c>
      <c r="AH751" s="304">
        <f t="shared" ca="1" si="347"/>
        <v>-69.138944455148859</v>
      </c>
    </row>
    <row r="752" spans="1:34" x14ac:dyDescent="0.2">
      <c r="A752" s="347">
        <f t="shared" ca="1" si="325"/>
        <v>0.01</v>
      </c>
      <c r="B752" s="304">
        <f t="shared" ca="1" si="326"/>
        <v>7.479999999999885</v>
      </c>
      <c r="D752" s="306">
        <f t="shared" ca="1" si="327"/>
        <v>-26.556792484736761</v>
      </c>
      <c r="E752" s="307">
        <f t="shared" ca="1" si="328"/>
        <v>-73.336945795669749</v>
      </c>
      <c r="F752" s="304">
        <f t="shared" ca="1" si="329"/>
        <v>77.997248962475425</v>
      </c>
      <c r="G752" s="306">
        <f t="shared" ca="1" si="330"/>
        <v>161.13686056958048</v>
      </c>
      <c r="H752" s="307">
        <f t="shared" ca="1" si="331"/>
        <v>385.36006905303873</v>
      </c>
      <c r="I752" s="304">
        <f t="shared" ca="1" si="332"/>
        <v>417.69303400318182</v>
      </c>
      <c r="J752" s="306">
        <f t="shared" ca="1" si="333"/>
        <v>719.5835856934483</v>
      </c>
      <c r="K752" s="307">
        <f t="shared" ca="1" si="334"/>
        <v>1852.1966612543758</v>
      </c>
      <c r="L752" s="304">
        <f t="shared" ca="1" si="319"/>
        <v>1987.0664329008473</v>
      </c>
      <c r="M752" s="306">
        <f t="shared" ca="1" si="335"/>
        <v>1.1747451755144755</v>
      </c>
      <c r="N752" s="304">
        <f t="shared" ca="1" si="336"/>
        <v>67.307940560334586</v>
      </c>
      <c r="P752" s="310">
        <f t="shared" ca="1" si="337"/>
        <v>22</v>
      </c>
      <c r="Q752" s="304">
        <f t="shared" ca="1" si="338"/>
        <v>0</v>
      </c>
      <c r="R752" s="306">
        <f t="shared" ca="1" si="339"/>
        <v>0</v>
      </c>
      <c r="S752" s="307">
        <f t="shared" ca="1" si="340"/>
        <v>15.089040186296437</v>
      </c>
      <c r="T752" s="304">
        <f t="shared" ca="1" si="320"/>
        <v>148.02348422756805</v>
      </c>
      <c r="U752" s="311">
        <f t="shared" ca="1" si="321"/>
        <v>0</v>
      </c>
      <c r="V752" s="306">
        <f t="shared" ca="1" si="322"/>
        <v>1.0173374985857035</v>
      </c>
      <c r="W752" s="304">
        <f t="shared" ca="1" si="323"/>
        <v>1034.6802889033074</v>
      </c>
      <c r="Y752" s="314" t="str">
        <f t="shared" ca="1" si="341"/>
        <v/>
      </c>
      <c r="Z752" s="315" t="str">
        <f t="shared" ca="1" si="342"/>
        <v/>
      </c>
      <c r="AA752" s="316" t="str">
        <f t="shared" ca="1" si="343"/>
        <v/>
      </c>
      <c r="AC752" s="310" t="e">
        <f t="shared" ca="1" si="344"/>
        <v>#N/A</v>
      </c>
      <c r="AD752" s="323" t="e">
        <f t="shared" ca="1" si="345"/>
        <v>#N/A</v>
      </c>
      <c r="AE752" s="324">
        <f t="shared" ca="1" si="324"/>
        <v>1852.1966612543758</v>
      </c>
      <c r="AG752" s="306">
        <f t="shared" ca="1" si="346"/>
        <v>-77.905421707724074</v>
      </c>
      <c r="AH752" s="304">
        <f t="shared" ca="1" si="347"/>
        <v>-68.854455696079199</v>
      </c>
    </row>
    <row r="753" spans="1:34" x14ac:dyDescent="0.2">
      <c r="A753" s="347">
        <f t="shared" ca="1" si="325"/>
        <v>0.01</v>
      </c>
      <c r="B753" s="304">
        <f t="shared" ca="1" si="326"/>
        <v>7.4899999999998847</v>
      </c>
      <c r="D753" s="306">
        <f t="shared" ca="1" si="327"/>
        <v>-26.453444290781317</v>
      </c>
      <c r="E753" s="307">
        <f t="shared" ca="1" si="328"/>
        <v>-73.073620021840284</v>
      </c>
      <c r="F753" s="304">
        <f t="shared" ca="1" si="329"/>
        <v>77.714468781184934</v>
      </c>
      <c r="G753" s="306">
        <f t="shared" ca="1" si="330"/>
        <v>160.87232612667268</v>
      </c>
      <c r="H753" s="307">
        <f t="shared" ca="1" si="331"/>
        <v>384.62933285282031</v>
      </c>
      <c r="I753" s="304">
        <f t="shared" ca="1" si="332"/>
        <v>416.91681305053191</v>
      </c>
      <c r="J753" s="306">
        <f t="shared" ca="1" si="333"/>
        <v>721.19363162692957</v>
      </c>
      <c r="K753" s="307">
        <f t="shared" ca="1" si="334"/>
        <v>1856.0466082639052</v>
      </c>
      <c r="L753" s="304">
        <f t="shared" ca="1" si="319"/>
        <v>1991.2381239689003</v>
      </c>
      <c r="M753" s="306">
        <f t="shared" ca="1" si="335"/>
        <v>1.1746544023942231</v>
      </c>
      <c r="N753" s="304">
        <f t="shared" ca="1" si="336"/>
        <v>67.302739643650895</v>
      </c>
      <c r="P753" s="310">
        <f t="shared" ca="1" si="337"/>
        <v>22</v>
      </c>
      <c r="Q753" s="304">
        <f t="shared" ca="1" si="338"/>
        <v>0</v>
      </c>
      <c r="R753" s="306">
        <f t="shared" ca="1" si="339"/>
        <v>0</v>
      </c>
      <c r="S753" s="307">
        <f t="shared" ca="1" si="340"/>
        <v>15.089040186296437</v>
      </c>
      <c r="T753" s="304">
        <f t="shared" ca="1" si="320"/>
        <v>148.02348422756805</v>
      </c>
      <c r="U753" s="311">
        <f t="shared" ca="1" si="321"/>
        <v>0</v>
      </c>
      <c r="V753" s="306">
        <f t="shared" ca="1" si="322"/>
        <v>1.0169425103839593</v>
      </c>
      <c r="W753" s="304">
        <f t="shared" ca="1" si="323"/>
        <v>1030.4380304871222</v>
      </c>
      <c r="Y753" s="314" t="str">
        <f t="shared" ca="1" si="341"/>
        <v/>
      </c>
      <c r="Z753" s="315" t="str">
        <f t="shared" ca="1" si="342"/>
        <v/>
      </c>
      <c r="AA753" s="316" t="str">
        <f t="shared" ca="1" si="343"/>
        <v/>
      </c>
      <c r="AC753" s="310" t="e">
        <f t="shared" ca="1" si="344"/>
        <v>#N/A</v>
      </c>
      <c r="AD753" s="323" t="e">
        <f t="shared" ca="1" si="345"/>
        <v>#N/A</v>
      </c>
      <c r="AE753" s="324">
        <f t="shared" ca="1" si="324"/>
        <v>1856.0466082639052</v>
      </c>
      <c r="AG753" s="306">
        <f t="shared" ca="1" si="346"/>
        <v>-77.622267029700339</v>
      </c>
      <c r="AH753" s="304">
        <f t="shared" ca="1" si="347"/>
        <v>-68.571643797660727</v>
      </c>
    </row>
    <row r="754" spans="1:34" x14ac:dyDescent="0.2">
      <c r="A754" s="347">
        <f t="shared" ca="1" si="325"/>
        <v>0.01</v>
      </c>
      <c r="B754" s="304">
        <f t="shared" ca="1" si="326"/>
        <v>7.4999999999998845</v>
      </c>
      <c r="D754" s="306">
        <f t="shared" ca="1" si="327"/>
        <v>-26.350702381607082</v>
      </c>
      <c r="E754" s="307">
        <f t="shared" ca="1" si="328"/>
        <v>-72.811843270794398</v>
      </c>
      <c r="F754" s="304">
        <f t="shared" ca="1" si="329"/>
        <v>77.433352223023135</v>
      </c>
      <c r="G754" s="306">
        <f t="shared" ca="1" si="330"/>
        <v>160.60881910285661</v>
      </c>
      <c r="H754" s="307">
        <f t="shared" ca="1" si="331"/>
        <v>383.90121442011235</v>
      </c>
      <c r="I754" s="304">
        <f t="shared" ca="1" si="332"/>
        <v>416.14340702076635</v>
      </c>
      <c r="J754" s="306">
        <f t="shared" ca="1" si="333"/>
        <v>722.80103735307716</v>
      </c>
      <c r="K754" s="307">
        <f t="shared" ca="1" si="334"/>
        <v>1859.8892610002699</v>
      </c>
      <c r="L754" s="304">
        <f t="shared" ca="1" si="319"/>
        <v>1995.402065445161</v>
      </c>
      <c r="M754" s="306">
        <f t="shared" ca="1" si="335"/>
        <v>1.1745634408296637</v>
      </c>
      <c r="N754" s="304">
        <f t="shared" ca="1" si="336"/>
        <v>67.297527929903723</v>
      </c>
      <c r="P754" s="310">
        <f t="shared" ca="1" si="337"/>
        <v>22</v>
      </c>
      <c r="Q754" s="304">
        <f t="shared" ca="1" si="338"/>
        <v>0</v>
      </c>
      <c r="R754" s="306">
        <f t="shared" ca="1" si="339"/>
        <v>0</v>
      </c>
      <c r="S754" s="307">
        <f t="shared" ca="1" si="340"/>
        <v>15.089040186296437</v>
      </c>
      <c r="T754" s="304">
        <f t="shared" ca="1" si="320"/>
        <v>148.02348422756805</v>
      </c>
      <c r="U754" s="311">
        <f t="shared" ca="1" si="321"/>
        <v>0</v>
      </c>
      <c r="V754" s="306">
        <f t="shared" ca="1" si="322"/>
        <v>1.0165484092785313</v>
      </c>
      <c r="W754" s="304">
        <f t="shared" ca="1" si="323"/>
        <v>1026.2206752197344</v>
      </c>
      <c r="Y754" s="314" t="str">
        <f t="shared" ca="1" si="341"/>
        <v/>
      </c>
      <c r="Z754" s="315" t="str">
        <f t="shared" ca="1" si="342"/>
        <v/>
      </c>
      <c r="AA754" s="316" t="str">
        <f t="shared" ca="1" si="343"/>
        <v/>
      </c>
      <c r="AC754" s="310" t="e">
        <f t="shared" ca="1" si="344"/>
        <v>#N/A</v>
      </c>
      <c r="AD754" s="323" t="e">
        <f t="shared" ca="1" si="345"/>
        <v>#N/A</v>
      </c>
      <c r="AE754" s="324">
        <f t="shared" ca="1" si="324"/>
        <v>1859.8892610002699</v>
      </c>
      <c r="AG754" s="306">
        <f t="shared" ca="1" si="346"/>
        <v>-77.34077513521234</v>
      </c>
      <c r="AH754" s="304">
        <f t="shared" ca="1" si="347"/>
        <v>-68.29049546988054</v>
      </c>
    </row>
    <row r="755" spans="1:34" x14ac:dyDescent="0.2">
      <c r="A755" s="347">
        <f t="shared" ca="1" si="325"/>
        <v>0.01</v>
      </c>
      <c r="B755" s="304">
        <f t="shared" ca="1" si="326"/>
        <v>7.5099999999998843</v>
      </c>
      <c r="D755" s="306">
        <f t="shared" ca="1" si="327"/>
        <v>-26.248561959782478</v>
      </c>
      <c r="E755" s="307">
        <f t="shared" ca="1" si="328"/>
        <v>-72.551603290717594</v>
      </c>
      <c r="F755" s="304">
        <f t="shared" ca="1" si="329"/>
        <v>77.153886130318824</v>
      </c>
      <c r="G755" s="306">
        <f t="shared" ca="1" si="330"/>
        <v>160.3463334832588</v>
      </c>
      <c r="H755" s="307">
        <f t="shared" ca="1" si="331"/>
        <v>383.17569838720516</v>
      </c>
      <c r="I755" s="304">
        <f t="shared" ca="1" si="332"/>
        <v>415.37279941763984</v>
      </c>
      <c r="J755" s="306">
        <f t="shared" ca="1" si="333"/>
        <v>724.40581311600772</v>
      </c>
      <c r="K755" s="307">
        <f t="shared" ca="1" si="334"/>
        <v>1863.7246455643065</v>
      </c>
      <c r="L755" s="304">
        <f t="shared" ca="1" si="319"/>
        <v>1999.5582853620606</v>
      </c>
      <c r="M755" s="306">
        <f t="shared" ca="1" si="335"/>
        <v>1.1744722906928315</v>
      </c>
      <c r="N755" s="304">
        <f t="shared" ca="1" si="336"/>
        <v>67.292305411761205</v>
      </c>
      <c r="P755" s="310">
        <f t="shared" ca="1" si="337"/>
        <v>22</v>
      </c>
      <c r="Q755" s="304">
        <f t="shared" ca="1" si="338"/>
        <v>0</v>
      </c>
      <c r="R755" s="306">
        <f t="shared" ca="1" si="339"/>
        <v>0</v>
      </c>
      <c r="S755" s="307">
        <f t="shared" ca="1" si="340"/>
        <v>15.089040186296437</v>
      </c>
      <c r="T755" s="304">
        <f t="shared" ca="1" si="320"/>
        <v>148.02348422756805</v>
      </c>
      <c r="U755" s="311">
        <f t="shared" ca="1" si="321"/>
        <v>0</v>
      </c>
      <c r="V755" s="306">
        <f t="shared" ca="1" si="322"/>
        <v>1.0161551917317564</v>
      </c>
      <c r="W755" s="304">
        <f t="shared" ca="1" si="323"/>
        <v>1022.0280265398897</v>
      </c>
      <c r="Y755" s="314" t="str">
        <f t="shared" ca="1" si="341"/>
        <v/>
      </c>
      <c r="Z755" s="315" t="str">
        <f t="shared" ca="1" si="342"/>
        <v/>
      </c>
      <c r="AA755" s="316" t="str">
        <f t="shared" ca="1" si="343"/>
        <v/>
      </c>
      <c r="AC755" s="310" t="e">
        <f t="shared" ca="1" si="344"/>
        <v>#N/A</v>
      </c>
      <c r="AD755" s="323" t="e">
        <f t="shared" ca="1" si="345"/>
        <v>#N/A</v>
      </c>
      <c r="AE755" s="324">
        <f t="shared" ca="1" si="324"/>
        <v>1863.7246455643065</v>
      </c>
      <c r="AG755" s="306">
        <f t="shared" ca="1" si="346"/>
        <v>-77.060932865725448</v>
      </c>
      <c r="AH755" s="304">
        <f t="shared" ca="1" si="347"/>
        <v>-68.010997555147839</v>
      </c>
    </row>
    <row r="756" spans="1:34" x14ac:dyDescent="0.2">
      <c r="A756" s="347">
        <f t="shared" ca="1" si="325"/>
        <v>0.01</v>
      </c>
      <c r="B756" s="304">
        <f t="shared" ca="1" si="326"/>
        <v>7.5199999999998841</v>
      </c>
      <c r="D756" s="306">
        <f t="shared" ca="1" si="327"/>
        <v>-26.147018275579054</v>
      </c>
      <c r="E756" s="307">
        <f t="shared" ca="1" si="328"/>
        <v>-72.292887951622902</v>
      </c>
      <c r="F756" s="304">
        <f t="shared" ca="1" si="329"/>
        <v>76.876057476234877</v>
      </c>
      <c r="G756" s="306">
        <f t="shared" ca="1" si="330"/>
        <v>160.084863300503</v>
      </c>
      <c r="H756" s="307">
        <f t="shared" ca="1" si="331"/>
        <v>382.45276950768891</v>
      </c>
      <c r="I756" s="304">
        <f t="shared" ca="1" si="332"/>
        <v>414.60497387518416</v>
      </c>
      <c r="J756" s="306">
        <f t="shared" ca="1" si="333"/>
        <v>726.00796909992653</v>
      </c>
      <c r="K756" s="307">
        <f t="shared" ca="1" si="334"/>
        <v>1867.5527879037809</v>
      </c>
      <c r="L756" s="304">
        <f t="shared" ca="1" si="319"/>
        <v>2003.706811587909</v>
      </c>
      <c r="M756" s="306">
        <f t="shared" ca="1" si="335"/>
        <v>1.1743809518552371</v>
      </c>
      <c r="N756" s="304">
        <f t="shared" ca="1" si="336"/>
        <v>67.28707208186141</v>
      </c>
      <c r="P756" s="310">
        <f t="shared" ca="1" si="337"/>
        <v>22</v>
      </c>
      <c r="Q756" s="304">
        <f t="shared" ca="1" si="338"/>
        <v>0</v>
      </c>
      <c r="R756" s="306">
        <f t="shared" ca="1" si="339"/>
        <v>0</v>
      </c>
      <c r="S756" s="307">
        <f t="shared" ca="1" si="340"/>
        <v>15.089040186296437</v>
      </c>
      <c r="T756" s="304">
        <f t="shared" ca="1" si="320"/>
        <v>148.02348422756805</v>
      </c>
      <c r="U756" s="311">
        <f t="shared" ca="1" si="321"/>
        <v>0</v>
      </c>
      <c r="V756" s="306">
        <f t="shared" ca="1" si="322"/>
        <v>1.0157628542277837</v>
      </c>
      <c r="W756" s="304">
        <f t="shared" ca="1" si="323"/>
        <v>1017.8598898368761</v>
      </c>
      <c r="Y756" s="314" t="str">
        <f t="shared" ca="1" si="341"/>
        <v/>
      </c>
      <c r="Z756" s="315" t="str">
        <f t="shared" ca="1" si="342"/>
        <v/>
      </c>
      <c r="AA756" s="316" t="str">
        <f t="shared" ca="1" si="343"/>
        <v/>
      </c>
      <c r="AC756" s="310" t="e">
        <f t="shared" ca="1" si="344"/>
        <v>#N/A</v>
      </c>
      <c r="AD756" s="323" t="e">
        <f t="shared" ca="1" si="345"/>
        <v>#N/A</v>
      </c>
      <c r="AE756" s="324">
        <f t="shared" ca="1" si="324"/>
        <v>1867.5527879037809</v>
      </c>
      <c r="AG756" s="306">
        <f t="shared" ca="1" si="346"/>
        <v>-76.782727193535877</v>
      </c>
      <c r="AH756" s="304">
        <f t="shared" ca="1" si="347"/>
        <v>-67.733137026705975</v>
      </c>
    </row>
    <row r="757" spans="1:34" x14ac:dyDescent="0.2">
      <c r="A757" s="347">
        <f t="shared" ca="1" si="325"/>
        <v>0.01</v>
      </c>
      <c r="B757" s="304">
        <f t="shared" ca="1" si="326"/>
        <v>7.5299999999998839</v>
      </c>
      <c r="D757" s="306">
        <f t="shared" ca="1" si="327"/>
        <v>-26.046066626400808</v>
      </c>
      <c r="E757" s="307">
        <f t="shared" ca="1" si="328"/>
        <v>-72.035685243893241</v>
      </c>
      <c r="F757" s="304">
        <f t="shared" ca="1" si="329"/>
        <v>76.599853363202783</v>
      </c>
      <c r="G757" s="306">
        <f t="shared" ca="1" si="330"/>
        <v>159.82440263423899</v>
      </c>
      <c r="H757" s="307">
        <f t="shared" ca="1" si="331"/>
        <v>381.73241265524996</v>
      </c>
      <c r="I757" s="304">
        <f t="shared" ca="1" si="332"/>
        <v>413.83991415641555</v>
      </c>
      <c r="J757" s="306">
        <f t="shared" ca="1" si="333"/>
        <v>727.6075154296002</v>
      </c>
      <c r="K757" s="307">
        <f t="shared" ca="1" si="334"/>
        <v>1871.3737138145955</v>
      </c>
      <c r="L757" s="304">
        <f t="shared" ca="1" si="319"/>
        <v>2007.8476718281861</v>
      </c>
      <c r="M757" s="306">
        <f t="shared" ca="1" si="335"/>
        <v>1.174289424187867</v>
      </c>
      <c r="N757" s="304">
        <f t="shared" ca="1" si="336"/>
        <v>67.281827932812419</v>
      </c>
      <c r="P757" s="310">
        <f t="shared" ca="1" si="337"/>
        <v>22</v>
      </c>
      <c r="Q757" s="304">
        <f t="shared" ca="1" si="338"/>
        <v>0</v>
      </c>
      <c r="R757" s="306">
        <f t="shared" ca="1" si="339"/>
        <v>0</v>
      </c>
      <c r="S757" s="307">
        <f t="shared" ca="1" si="340"/>
        <v>15.089040186296437</v>
      </c>
      <c r="T757" s="304">
        <f t="shared" ca="1" si="320"/>
        <v>148.02348422756805</v>
      </c>
      <c r="U757" s="311">
        <f t="shared" ca="1" si="321"/>
        <v>0</v>
      </c>
      <c r="V757" s="306">
        <f t="shared" ca="1" si="322"/>
        <v>1.0153713932723931</v>
      </c>
      <c r="W757" s="304">
        <f t="shared" ca="1" si="323"/>
        <v>1013.7160724272276</v>
      </c>
      <c r="Y757" s="314" t="str">
        <f t="shared" ca="1" si="341"/>
        <v/>
      </c>
      <c r="Z757" s="315" t="str">
        <f t="shared" ca="1" si="342"/>
        <v/>
      </c>
      <c r="AA757" s="316" t="str">
        <f t="shared" ca="1" si="343"/>
        <v/>
      </c>
      <c r="AC757" s="310" t="e">
        <f t="shared" ca="1" si="344"/>
        <v>#N/A</v>
      </c>
      <c r="AD757" s="323" t="e">
        <f t="shared" ca="1" si="345"/>
        <v>#N/A</v>
      </c>
      <c r="AE757" s="324">
        <f t="shared" ca="1" si="324"/>
        <v>1871.3737138145955</v>
      </c>
      <c r="AG757" s="306">
        <f t="shared" ca="1" si="346"/>
        <v>-76.506145220205369</v>
      </c>
      <c r="AH757" s="304">
        <f t="shared" ca="1" si="347"/>
        <v>-67.456900987067158</v>
      </c>
    </row>
    <row r="758" spans="1:34" x14ac:dyDescent="0.2">
      <c r="A758" s="347">
        <f t="shared" ca="1" si="325"/>
        <v>0.01</v>
      </c>
      <c r="B758" s="304">
        <f t="shared" ca="1" si="326"/>
        <v>7.5399999999998837</v>
      </c>
      <c r="D758" s="306">
        <f t="shared" ca="1" si="327"/>
        <v>-25.945702356221204</v>
      </c>
      <c r="E758" s="307">
        <f t="shared" ca="1" si="328"/>
        <v>-71.77998327684368</v>
      </c>
      <c r="F758" s="304">
        <f t="shared" ca="1" si="329"/>
        <v>76.325261021378637</v>
      </c>
      <c r="G758" s="306">
        <f t="shared" ca="1" si="330"/>
        <v>159.56494561067677</v>
      </c>
      <c r="H758" s="307">
        <f t="shared" ca="1" si="331"/>
        <v>381.01461282248152</v>
      </c>
      <c r="I758" s="304">
        <f t="shared" ca="1" si="332"/>
        <v>413.07760415205729</v>
      </c>
      <c r="J758" s="306">
        <f t="shared" ca="1" si="333"/>
        <v>729.20446217082474</v>
      </c>
      <c r="K758" s="307">
        <f t="shared" ca="1" si="334"/>
        <v>1875.187448941984</v>
      </c>
      <c r="L758" s="304">
        <f t="shared" ca="1" si="319"/>
        <v>2011.9808936268225</v>
      </c>
      <c r="M758" s="306">
        <f t="shared" ca="1" si="335"/>
        <v>1.1741977075611842</v>
      </c>
      <c r="N758" s="304">
        <f t="shared" ca="1" si="336"/>
        <v>67.276572957192329</v>
      </c>
      <c r="P758" s="310">
        <f t="shared" ca="1" si="337"/>
        <v>22</v>
      </c>
      <c r="Q758" s="304">
        <f t="shared" ca="1" si="338"/>
        <v>0</v>
      </c>
      <c r="R758" s="306">
        <f t="shared" ca="1" si="339"/>
        <v>0</v>
      </c>
      <c r="S758" s="307">
        <f t="shared" ca="1" si="340"/>
        <v>15.089040186296437</v>
      </c>
      <c r="T758" s="304">
        <f t="shared" ca="1" si="320"/>
        <v>148.02348422756805</v>
      </c>
      <c r="U758" s="311">
        <f t="shared" ca="1" si="321"/>
        <v>0</v>
      </c>
      <c r="V758" s="306">
        <f t="shared" ca="1" si="322"/>
        <v>1.0149808053928213</v>
      </c>
      <c r="W758" s="304">
        <f t="shared" ca="1" si="323"/>
        <v>1009.5963835317596</v>
      </c>
      <c r="Y758" s="314" t="str">
        <f t="shared" ca="1" si="341"/>
        <v/>
      </c>
      <c r="Z758" s="315" t="str">
        <f t="shared" ca="1" si="342"/>
        <v/>
      </c>
      <c r="AA758" s="316" t="str">
        <f t="shared" ca="1" si="343"/>
        <v/>
      </c>
      <c r="AC758" s="310" t="e">
        <f t="shared" ca="1" si="344"/>
        <v>#N/A</v>
      </c>
      <c r="AD758" s="323" t="e">
        <f t="shared" ca="1" si="345"/>
        <v>#N/A</v>
      </c>
      <c r="AE758" s="324">
        <f t="shared" ca="1" si="324"/>
        <v>1875.187448941984</v>
      </c>
      <c r="AG758" s="306">
        <f t="shared" ca="1" si="346"/>
        <v>-76.231174175017145</v>
      </c>
      <c r="AH758" s="304">
        <f t="shared" ca="1" si="347"/>
        <v>-67.182276666468425</v>
      </c>
    </row>
    <row r="759" spans="1:34" x14ac:dyDescent="0.2">
      <c r="A759" s="347">
        <f t="shared" ca="1" si="325"/>
        <v>0.01</v>
      </c>
      <c r="B759" s="304">
        <f t="shared" ca="1" si="326"/>
        <v>7.5499999999998835</v>
      </c>
      <c r="D759" s="306">
        <f t="shared" ca="1" si="327"/>
        <v>-25.845920855028304</v>
      </c>
      <c r="E759" s="307">
        <f t="shared" ca="1" si="328"/>
        <v>-71.525770277304474</v>
      </c>
      <c r="F759" s="304">
        <f t="shared" ca="1" si="329"/>
        <v>76.052267807121439</v>
      </c>
      <c r="G759" s="306">
        <f t="shared" ca="1" si="330"/>
        <v>159.3064864021265</v>
      </c>
      <c r="H759" s="307">
        <f t="shared" ca="1" si="331"/>
        <v>380.29935511970848</v>
      </c>
      <c r="I759" s="304">
        <f t="shared" ca="1" si="332"/>
        <v>412.31802787927796</v>
      </c>
      <c r="J759" s="306">
        <f t="shared" ca="1" si="333"/>
        <v>730.7988193308887</v>
      </c>
      <c r="K759" s="307">
        <f t="shared" ca="1" si="334"/>
        <v>1878.9940187816949</v>
      </c>
      <c r="L759" s="304">
        <f t="shared" ca="1" si="319"/>
        <v>2016.1065043674664</v>
      </c>
      <c r="M759" s="306">
        <f t="shared" ca="1" si="335"/>
        <v>1.1741058018451271</v>
      </c>
      <c r="N759" s="304">
        <f t="shared" ca="1" si="336"/>
        <v>67.271307147549123</v>
      </c>
      <c r="P759" s="310">
        <f t="shared" ca="1" si="337"/>
        <v>22</v>
      </c>
      <c r="Q759" s="304">
        <f t="shared" ca="1" si="338"/>
        <v>0</v>
      </c>
      <c r="R759" s="306">
        <f t="shared" ca="1" si="339"/>
        <v>0</v>
      </c>
      <c r="S759" s="307">
        <f t="shared" ca="1" si="340"/>
        <v>15.089040186296437</v>
      </c>
      <c r="T759" s="304">
        <f t="shared" ca="1" si="320"/>
        <v>148.02348422756805</v>
      </c>
      <c r="U759" s="311">
        <f t="shared" ca="1" si="321"/>
        <v>0</v>
      </c>
      <c r="V759" s="306">
        <f t="shared" ca="1" si="322"/>
        <v>1.0145910871375845</v>
      </c>
      <c r="W759" s="304">
        <f t="shared" ca="1" si="323"/>
        <v>1005.5006342529181</v>
      </c>
      <c r="Y759" s="314" t="str">
        <f t="shared" ca="1" si="341"/>
        <v/>
      </c>
      <c r="Z759" s="315" t="str">
        <f t="shared" ca="1" si="342"/>
        <v/>
      </c>
      <c r="AA759" s="316" t="str">
        <f t="shared" ca="1" si="343"/>
        <v/>
      </c>
      <c r="AC759" s="310" t="e">
        <f t="shared" ca="1" si="344"/>
        <v>#N/A</v>
      </c>
      <c r="AD759" s="323" t="e">
        <f t="shared" ca="1" si="345"/>
        <v>#N/A</v>
      </c>
      <c r="AE759" s="324">
        <f t="shared" ca="1" si="324"/>
        <v>1878.9940187816949</v>
      </c>
      <c r="AG759" s="306">
        <f t="shared" ca="1" si="346"/>
        <v>-75.957801413454092</v>
      </c>
      <c r="AH759" s="304">
        <f t="shared" ca="1" si="347"/>
        <v>-66.909251421349836</v>
      </c>
    </row>
    <row r="760" spans="1:34" x14ac:dyDescent="0.2">
      <c r="A760" s="347">
        <f t="shared" ca="1" si="325"/>
        <v>0.01</v>
      </c>
      <c r="B760" s="304">
        <f t="shared" ca="1" si="326"/>
        <v>7.5599999999998833</v>
      </c>
      <c r="D760" s="306">
        <f t="shared" ca="1" si="327"/>
        <v>-25.746717558277421</v>
      </c>
      <c r="E760" s="307">
        <f t="shared" ca="1" si="328"/>
        <v>-71.273034588223013</v>
      </c>
      <c r="F760" s="304">
        <f t="shared" ca="1" si="329"/>
        <v>75.78086120149166</v>
      </c>
      <c r="G760" s="306">
        <f t="shared" ca="1" si="330"/>
        <v>159.04901922654372</v>
      </c>
      <c r="H760" s="307">
        <f t="shared" ca="1" si="331"/>
        <v>379.58662477382626</v>
      </c>
      <c r="I760" s="304">
        <f t="shared" ca="1" si="332"/>
        <v>411.56116948044433</v>
      </c>
      <c r="J760" s="306">
        <f t="shared" ca="1" si="333"/>
        <v>732.39059685903203</v>
      </c>
      <c r="K760" s="307">
        <f t="shared" ca="1" si="334"/>
        <v>1882.7934486811625</v>
      </c>
      <c r="L760" s="304">
        <f t="shared" ca="1" si="319"/>
        <v>2020.224531274738</v>
      </c>
      <c r="M760" s="306">
        <f t="shared" ca="1" si="335"/>
        <v>1.1740137069091103</v>
      </c>
      <c r="N760" s="304">
        <f t="shared" ca="1" si="336"/>
        <v>67.266030496400845</v>
      </c>
      <c r="P760" s="310">
        <f t="shared" ca="1" si="337"/>
        <v>22</v>
      </c>
      <c r="Q760" s="304">
        <f t="shared" ca="1" si="338"/>
        <v>0</v>
      </c>
      <c r="R760" s="306">
        <f t="shared" ca="1" si="339"/>
        <v>0</v>
      </c>
      <c r="S760" s="307">
        <f t="shared" ca="1" si="340"/>
        <v>15.089040186296437</v>
      </c>
      <c r="T760" s="304">
        <f t="shared" ca="1" si="320"/>
        <v>148.02348422756805</v>
      </c>
      <c r="U760" s="311">
        <f t="shared" ca="1" si="321"/>
        <v>0</v>
      </c>
      <c r="V760" s="306">
        <f t="shared" ca="1" si="322"/>
        <v>1.014202235076306</v>
      </c>
      <c r="W760" s="304">
        <f t="shared" ca="1" si="323"/>
        <v>1001.4286375524476</v>
      </c>
      <c r="Y760" s="314" t="str">
        <f t="shared" ca="1" si="341"/>
        <v/>
      </c>
      <c r="Z760" s="315" t="str">
        <f t="shared" ca="1" si="342"/>
        <v/>
      </c>
      <c r="AA760" s="316" t="str">
        <f t="shared" ca="1" si="343"/>
        <v/>
      </c>
      <c r="AC760" s="310" t="e">
        <f t="shared" ca="1" si="344"/>
        <v>#N/A</v>
      </c>
      <c r="AD760" s="323" t="e">
        <f t="shared" ca="1" si="345"/>
        <v>#N/A</v>
      </c>
      <c r="AE760" s="324">
        <f t="shared" ca="1" si="324"/>
        <v>1882.7934486811625</v>
      </c>
      <c r="AG760" s="306">
        <f t="shared" ca="1" si="346"/>
        <v>-75.686014415697514</v>
      </c>
      <c r="AH760" s="304">
        <f t="shared" ca="1" si="347"/>
        <v>-66.637812732853178</v>
      </c>
    </row>
    <row r="761" spans="1:34" x14ac:dyDescent="0.2">
      <c r="A761" s="347">
        <f t="shared" ca="1" si="325"/>
        <v>0.01</v>
      </c>
      <c r="B761" s="304">
        <f t="shared" ca="1" si="326"/>
        <v>7.569999999999883</v>
      </c>
      <c r="D761" s="306">
        <f t="shared" ca="1" si="327"/>
        <v>-25.648087946351506</v>
      </c>
      <c r="E761" s="307">
        <f t="shared" ca="1" si="328"/>
        <v>-71.021764667285922</v>
      </c>
      <c r="F761" s="304">
        <f t="shared" ca="1" si="329"/>
        <v>75.511028808771528</v>
      </c>
      <c r="G761" s="306">
        <f t="shared" ca="1" si="330"/>
        <v>158.79253834708021</v>
      </c>
      <c r="H761" s="307">
        <f t="shared" ca="1" si="331"/>
        <v>378.87640712715341</v>
      </c>
      <c r="I761" s="304">
        <f t="shared" ca="1" si="332"/>
        <v>410.80701322188918</v>
      </c>
      <c r="J761" s="306">
        <f t="shared" ca="1" si="333"/>
        <v>733.97980464690011</v>
      </c>
      <c r="K761" s="307">
        <f t="shared" ca="1" si="334"/>
        <v>1886.5857638406674</v>
      </c>
      <c r="L761" s="304">
        <f t="shared" ca="1" si="319"/>
        <v>2024.3350014154712</v>
      </c>
      <c r="M761" s="306">
        <f t="shared" ca="1" si="335"/>
        <v>1.1739214226220236</v>
      </c>
      <c r="N761" s="304">
        <f t="shared" ca="1" si="336"/>
        <v>67.260742996235393</v>
      </c>
      <c r="P761" s="310">
        <f t="shared" ca="1" si="337"/>
        <v>22</v>
      </c>
      <c r="Q761" s="304">
        <f t="shared" ca="1" si="338"/>
        <v>0</v>
      </c>
      <c r="R761" s="306">
        <f t="shared" ca="1" si="339"/>
        <v>0</v>
      </c>
      <c r="S761" s="307">
        <f t="shared" ca="1" si="340"/>
        <v>15.089040186296437</v>
      </c>
      <c r="T761" s="304">
        <f t="shared" ca="1" si="320"/>
        <v>148.02348422756805</v>
      </c>
      <c r="U761" s="311">
        <f t="shared" ca="1" si="321"/>
        <v>0</v>
      </c>
      <c r="V761" s="306">
        <f t="shared" ca="1" si="322"/>
        <v>1.0138142457995452</v>
      </c>
      <c r="W761" s="304">
        <f t="shared" ca="1" si="323"/>
        <v>997.38020822936767</v>
      </c>
      <c r="Y761" s="314" t="str">
        <f t="shared" ca="1" si="341"/>
        <v/>
      </c>
      <c r="Z761" s="315" t="str">
        <f t="shared" ca="1" si="342"/>
        <v/>
      </c>
      <c r="AA761" s="316" t="str">
        <f t="shared" ca="1" si="343"/>
        <v/>
      </c>
      <c r="AC761" s="310" t="e">
        <f t="shared" ca="1" si="344"/>
        <v>#N/A</v>
      </c>
      <c r="AD761" s="323" t="e">
        <f t="shared" ca="1" si="345"/>
        <v>#N/A</v>
      </c>
      <c r="AE761" s="324">
        <f t="shared" ca="1" si="324"/>
        <v>1886.5857638406674</v>
      </c>
      <c r="AG761" s="306">
        <f t="shared" ca="1" si="346"/>
        <v>-75.415800785147198</v>
      </c>
      <c r="AH761" s="304">
        <f t="shared" ca="1" si="347"/>
        <v>-66.367948205342117</v>
      </c>
    </row>
    <row r="762" spans="1:34" x14ac:dyDescent="0.2">
      <c r="A762" s="347">
        <f t="shared" ca="1" si="325"/>
        <v>0.01</v>
      </c>
      <c r="B762" s="304">
        <f t="shared" ca="1" si="326"/>
        <v>7.5799999999998828</v>
      </c>
      <c r="D762" s="306">
        <f t="shared" ca="1" si="327"/>
        <v>-25.55002754402895</v>
      </c>
      <c r="E762" s="307">
        <f t="shared" ca="1" si="328"/>
        <v>-70.77194908555974</v>
      </c>
      <c r="F762" s="304">
        <f t="shared" ca="1" si="329"/>
        <v>75.242758355005151</v>
      </c>
      <c r="G762" s="306">
        <f t="shared" ca="1" si="330"/>
        <v>158.53703807163993</v>
      </c>
      <c r="H762" s="307">
        <f t="shared" ca="1" si="331"/>
        <v>378.16868763629782</v>
      </c>
      <c r="I762" s="304">
        <f t="shared" ca="1" si="332"/>
        <v>410.05554349269369</v>
      </c>
      <c r="J762" s="306">
        <f t="shared" ca="1" si="333"/>
        <v>735.56645252899375</v>
      </c>
      <c r="K762" s="307">
        <f t="shared" ca="1" si="334"/>
        <v>1890.3709893144846</v>
      </c>
      <c r="L762" s="304">
        <f t="shared" ca="1" si="319"/>
        <v>2028.4379416999454</v>
      </c>
      <c r="M762" s="306">
        <f t="shared" ca="1" si="335"/>
        <v>1.1738289488522329</v>
      </c>
      <c r="N762" s="304">
        <f t="shared" ca="1" si="336"/>
        <v>67.255444639510728</v>
      </c>
      <c r="P762" s="310">
        <f t="shared" ca="1" si="337"/>
        <v>22</v>
      </c>
      <c r="Q762" s="304">
        <f t="shared" ca="1" si="338"/>
        <v>0</v>
      </c>
      <c r="R762" s="306">
        <f t="shared" ca="1" si="339"/>
        <v>0</v>
      </c>
      <c r="S762" s="307">
        <f t="shared" ca="1" si="340"/>
        <v>15.089040186296437</v>
      </c>
      <c r="T762" s="304">
        <f t="shared" ca="1" si="320"/>
        <v>148.02348422756805</v>
      </c>
      <c r="U762" s="311">
        <f t="shared" ca="1" si="321"/>
        <v>0</v>
      </c>
      <c r="V762" s="306">
        <f t="shared" ca="1" si="322"/>
        <v>1.013427115918627</v>
      </c>
      <c r="W762" s="304">
        <f t="shared" ca="1" si="323"/>
        <v>993.35516289825387</v>
      </c>
      <c r="Y762" s="314" t="str">
        <f t="shared" ca="1" si="341"/>
        <v/>
      </c>
      <c r="Z762" s="315" t="str">
        <f t="shared" ca="1" si="342"/>
        <v/>
      </c>
      <c r="AA762" s="316" t="str">
        <f t="shared" ca="1" si="343"/>
        <v/>
      </c>
      <c r="AC762" s="310" t="e">
        <f t="shared" ca="1" si="344"/>
        <v>#N/A</v>
      </c>
      <c r="AD762" s="323" t="e">
        <f t="shared" ca="1" si="345"/>
        <v>#N/A</v>
      </c>
      <c r="AE762" s="324">
        <f t="shared" ca="1" si="324"/>
        <v>1890.3709893144846</v>
      </c>
      <c r="AG762" s="306">
        <f t="shared" ca="1" si="346"/>
        <v>-75.147148246961734</v>
      </c>
      <c r="AH762" s="304">
        <f t="shared" ca="1" si="347"/>
        <v>-66.099645564942449</v>
      </c>
    </row>
    <row r="763" spans="1:34" x14ac:dyDescent="0.2">
      <c r="A763" s="347">
        <f t="shared" ca="1" si="325"/>
        <v>0.01</v>
      </c>
      <c r="B763" s="304">
        <f t="shared" ca="1" si="326"/>
        <v>7.5899999999998826</v>
      </c>
      <c r="D763" s="306">
        <f t="shared" ca="1" si="327"/>
        <v>-25.45253191995879</v>
      </c>
      <c r="E763" s="307">
        <f t="shared" ca="1" si="328"/>
        <v>-70.523576526150833</v>
      </c>
      <c r="F763" s="304">
        <f t="shared" ca="1" si="329"/>
        <v>74.976037686559394</v>
      </c>
      <c r="G763" s="306">
        <f t="shared" ca="1" si="330"/>
        <v>158.28251275244034</v>
      </c>
      <c r="H763" s="307">
        <f t="shared" ca="1" si="331"/>
        <v>377.46345187103628</v>
      </c>
      <c r="I763" s="304">
        <f t="shared" ca="1" si="332"/>
        <v>409.30674480348426</v>
      </c>
      <c r="J763" s="306">
        <f t="shared" ca="1" si="333"/>
        <v>737.15055028311417</v>
      </c>
      <c r="K763" s="307">
        <f t="shared" ca="1" si="334"/>
        <v>1894.1491500120212</v>
      </c>
      <c r="L763" s="304">
        <f t="shared" ca="1" si="319"/>
        <v>2032.5333788831022</v>
      </c>
      <c r="M763" s="306">
        <f t="shared" ca="1" si="335"/>
        <v>1.1737362854675786</v>
      </c>
      <c r="N763" s="304">
        <f t="shared" ca="1" si="336"/>
        <v>67.250135418654637</v>
      </c>
      <c r="P763" s="310">
        <f t="shared" ca="1" si="337"/>
        <v>22</v>
      </c>
      <c r="Q763" s="304">
        <f t="shared" ca="1" si="338"/>
        <v>0</v>
      </c>
      <c r="R763" s="306">
        <f t="shared" ca="1" si="339"/>
        <v>0</v>
      </c>
      <c r="S763" s="307">
        <f t="shared" ca="1" si="340"/>
        <v>15.089040186296437</v>
      </c>
      <c r="T763" s="304">
        <f t="shared" ca="1" si="320"/>
        <v>148.02348422756805</v>
      </c>
      <c r="U763" s="311">
        <f t="shared" ca="1" si="321"/>
        <v>0</v>
      </c>
      <c r="V763" s="306">
        <f t="shared" ca="1" si="322"/>
        <v>1.0130408420654748</v>
      </c>
      <c r="W763" s="304">
        <f t="shared" ca="1" si="323"/>
        <v>989.35331996781917</v>
      </c>
      <c r="Y763" s="314" t="str">
        <f t="shared" ca="1" si="341"/>
        <v/>
      </c>
      <c r="Z763" s="315" t="str">
        <f t="shared" ca="1" si="342"/>
        <v/>
      </c>
      <c r="AA763" s="316" t="str">
        <f t="shared" ca="1" si="343"/>
        <v/>
      </c>
      <c r="AC763" s="310" t="e">
        <f t="shared" ca="1" si="344"/>
        <v>#N/A</v>
      </c>
      <c r="AD763" s="323" t="e">
        <f t="shared" ca="1" si="345"/>
        <v>#N/A</v>
      </c>
      <c r="AE763" s="324">
        <f t="shared" ca="1" si="324"/>
        <v>1894.1491500120212</v>
      </c>
      <c r="AG763" s="306">
        <f t="shared" ca="1" si="346"/>
        <v>-74.880044646619226</v>
      </c>
      <c r="AH763" s="304">
        <f t="shared" ca="1" si="347"/>
        <v>-65.832892658102864</v>
      </c>
    </row>
    <row r="764" spans="1:34" x14ac:dyDescent="0.2">
      <c r="A764" s="347">
        <f t="shared" ca="1" si="325"/>
        <v>0.01</v>
      </c>
      <c r="B764" s="304">
        <f t="shared" ca="1" si="326"/>
        <v>7.5999999999998824</v>
      </c>
      <c r="D764" s="306">
        <f t="shared" ca="1" si="327"/>
        <v>-25.355596686143187</v>
      </c>
      <c r="E764" s="307">
        <f t="shared" ca="1" si="328"/>
        <v>-70.276635782883474</v>
      </c>
      <c r="F764" s="304">
        <f t="shared" ca="1" si="329"/>
        <v>74.710854768704209</v>
      </c>
      <c r="G764" s="306">
        <f t="shared" ca="1" si="330"/>
        <v>158.02895678557891</v>
      </c>
      <c r="H764" s="307">
        <f t="shared" ca="1" si="331"/>
        <v>376.76068551320748</v>
      </c>
      <c r="I764" s="304">
        <f t="shared" ca="1" si="332"/>
        <v>408.56060178524359</v>
      </c>
      <c r="J764" s="306">
        <f t="shared" ca="1" si="333"/>
        <v>738.73210763080431</v>
      </c>
      <c r="K764" s="307">
        <f t="shared" ca="1" si="334"/>
        <v>1897.9202706989424</v>
      </c>
      <c r="L764" s="304">
        <f t="shared" ca="1" si="319"/>
        <v>2036.6213395657519</v>
      </c>
      <c r="M764" s="306">
        <f t="shared" ca="1" si="335"/>
        <v>1.1736434323353768</v>
      </c>
      <c r="N764" s="304">
        <f t="shared" ca="1" si="336"/>
        <v>67.244815326064909</v>
      </c>
      <c r="P764" s="310">
        <f t="shared" ca="1" si="337"/>
        <v>22</v>
      </c>
      <c r="Q764" s="304">
        <f t="shared" ca="1" si="338"/>
        <v>0</v>
      </c>
      <c r="R764" s="306">
        <f t="shared" ca="1" si="339"/>
        <v>0</v>
      </c>
      <c r="S764" s="307">
        <f t="shared" ca="1" si="340"/>
        <v>15.089040186296437</v>
      </c>
      <c r="T764" s="304">
        <f t="shared" ca="1" si="320"/>
        <v>148.02348422756805</v>
      </c>
      <c r="U764" s="311">
        <f t="shared" ca="1" si="321"/>
        <v>0</v>
      </c>
      <c r="V764" s="306">
        <f t="shared" ca="1" si="322"/>
        <v>1.0126554208924432</v>
      </c>
      <c r="W764" s="304">
        <f t="shared" ca="1" si="323"/>
        <v>985.37449961978882</v>
      </c>
      <c r="Y764" s="314" t="str">
        <f t="shared" ca="1" si="341"/>
        <v/>
      </c>
      <c r="Z764" s="315" t="str">
        <f t="shared" ca="1" si="342"/>
        <v/>
      </c>
      <c r="AA764" s="316" t="str">
        <f t="shared" ca="1" si="343"/>
        <v/>
      </c>
      <c r="AC764" s="310" t="e">
        <f t="shared" ca="1" si="344"/>
        <v>#N/A</v>
      </c>
      <c r="AD764" s="323" t="e">
        <f t="shared" ca="1" si="345"/>
        <v>#N/A</v>
      </c>
      <c r="AE764" s="324">
        <f t="shared" ca="1" si="324"/>
        <v>1897.9202706989424</v>
      </c>
      <c r="AG764" s="306">
        <f t="shared" ca="1" si="346"/>
        <v>-74.614477948497765</v>
      </c>
      <c r="AH764" s="304">
        <f t="shared" ca="1" si="347"/>
        <v>-65.567677450175395</v>
      </c>
    </row>
    <row r="765" spans="1:34" x14ac:dyDescent="0.2">
      <c r="A765" s="347">
        <f t="shared" ca="1" si="325"/>
        <v>0.01</v>
      </c>
      <c r="B765" s="304">
        <f t="shared" ca="1" si="326"/>
        <v>7.6099999999998822</v>
      </c>
      <c r="D765" s="306">
        <f t="shared" ca="1" si="327"/>
        <v>-25.259217497426896</v>
      </c>
      <c r="E765" s="307">
        <f t="shared" ca="1" si="328"/>
        <v>-70.031115758996222</v>
      </c>
      <c r="F765" s="304">
        <f t="shared" ca="1" si="329"/>
        <v>74.447197684212711</v>
      </c>
      <c r="G765" s="306">
        <f t="shared" ca="1" si="330"/>
        <v>157.77636461060465</v>
      </c>
      <c r="H765" s="307">
        <f t="shared" ca="1" si="331"/>
        <v>376.06037435561751</v>
      </c>
      <c r="I765" s="304">
        <f t="shared" ca="1" si="332"/>
        <v>407.81709918813561</v>
      </c>
      <c r="J765" s="306">
        <f t="shared" ca="1" si="333"/>
        <v>740.31113423778527</v>
      </c>
      <c r="K765" s="307">
        <f t="shared" ca="1" si="334"/>
        <v>1901.6843759982867</v>
      </c>
      <c r="L765" s="304">
        <f t="shared" ca="1" si="319"/>
        <v>2040.7018501957675</v>
      </c>
      <c r="M765" s="306">
        <f t="shared" ca="1" si="335"/>
        <v>1.1735503893224188</v>
      </c>
      <c r="N765" s="304">
        <f t="shared" ca="1" si="336"/>
        <v>67.239484354109223</v>
      </c>
      <c r="P765" s="310">
        <f t="shared" ca="1" si="337"/>
        <v>22</v>
      </c>
      <c r="Q765" s="304">
        <f t="shared" ca="1" si="338"/>
        <v>0</v>
      </c>
      <c r="R765" s="306">
        <f t="shared" ca="1" si="339"/>
        <v>0</v>
      </c>
      <c r="S765" s="307">
        <f t="shared" ca="1" si="340"/>
        <v>15.089040186296437</v>
      </c>
      <c r="T765" s="304">
        <f t="shared" ca="1" si="320"/>
        <v>148.02348422756805</v>
      </c>
      <c r="U765" s="311">
        <f t="shared" ca="1" si="321"/>
        <v>0</v>
      </c>
      <c r="V765" s="306">
        <f t="shared" ca="1" si="322"/>
        <v>1.0122708490721533</v>
      </c>
      <c r="W765" s="304">
        <f t="shared" ca="1" si="323"/>
        <v>981.41852378806914</v>
      </c>
      <c r="Y765" s="314" t="str">
        <f t="shared" ca="1" si="341"/>
        <v/>
      </c>
      <c r="Z765" s="315" t="str">
        <f t="shared" ca="1" si="342"/>
        <v/>
      </c>
      <c r="AA765" s="316" t="str">
        <f t="shared" ca="1" si="343"/>
        <v/>
      </c>
      <c r="AC765" s="310" t="e">
        <f t="shared" ca="1" si="344"/>
        <v>#N/A</v>
      </c>
      <c r="AD765" s="323" t="e">
        <f t="shared" ca="1" si="345"/>
        <v>#N/A</v>
      </c>
      <c r="AE765" s="324">
        <f t="shared" ca="1" si="324"/>
        <v>1901.6843759982867</v>
      </c>
      <c r="AG765" s="306">
        <f t="shared" ca="1" si="346"/>
        <v>-74.350436234475325</v>
      </c>
      <c r="AH765" s="304">
        <f t="shared" ca="1" si="347"/>
        <v>-65.303988024015354</v>
      </c>
    </row>
    <row r="766" spans="1:34" x14ac:dyDescent="0.2">
      <c r="A766" s="347">
        <f t="shared" ca="1" si="325"/>
        <v>0.01</v>
      </c>
      <c r="B766" s="304">
        <f t="shared" ca="1" si="326"/>
        <v>7.619999999999882</v>
      </c>
      <c r="D766" s="306">
        <f t="shared" ca="1" si="327"/>
        <v>-25.163390050993939</v>
      </c>
      <c r="E766" s="307">
        <f t="shared" ca="1" si="328"/>
        <v>-69.787005465856481</v>
      </c>
      <c r="F766" s="304">
        <f t="shared" ca="1" si="329"/>
        <v>74.185054631980577</v>
      </c>
      <c r="G766" s="306">
        <f t="shared" ca="1" si="330"/>
        <v>157.5247307100947</v>
      </c>
      <c r="H766" s="307">
        <f t="shared" ca="1" si="331"/>
        <v>375.36250430095896</v>
      </c>
      <c r="I766" s="304">
        <f t="shared" ca="1" si="332"/>
        <v>407.07622188034429</v>
      </c>
      <c r="J766" s="306">
        <f t="shared" ca="1" si="333"/>
        <v>741.8876397143888</v>
      </c>
      <c r="K766" s="307">
        <f t="shared" ca="1" si="334"/>
        <v>1905.4414903915695</v>
      </c>
      <c r="L766" s="304">
        <f t="shared" ca="1" si="319"/>
        <v>2044.7749370692688</v>
      </c>
      <c r="M766" s="306">
        <f t="shared" ca="1" si="335"/>
        <v>1.1734571562949705</v>
      </c>
      <c r="N766" s="304">
        <f t="shared" ca="1" si="336"/>
        <v>67.234142495125212</v>
      </c>
      <c r="P766" s="310">
        <f t="shared" ca="1" si="337"/>
        <v>22</v>
      </c>
      <c r="Q766" s="304">
        <f t="shared" ca="1" si="338"/>
        <v>0</v>
      </c>
      <c r="R766" s="306">
        <f t="shared" ca="1" si="339"/>
        <v>0</v>
      </c>
      <c r="S766" s="307">
        <f t="shared" ca="1" si="340"/>
        <v>15.089040186296437</v>
      </c>
      <c r="T766" s="304">
        <f t="shared" ca="1" si="320"/>
        <v>148.02348422756805</v>
      </c>
      <c r="U766" s="311">
        <f t="shared" ca="1" si="321"/>
        <v>0</v>
      </c>
      <c r="V766" s="306">
        <f t="shared" ca="1" si="322"/>
        <v>1.0118871232973314</v>
      </c>
      <c r="W766" s="304">
        <f t="shared" ca="1" si="323"/>
        <v>977.48521613820094</v>
      </c>
      <c r="Y766" s="314" t="str">
        <f t="shared" ca="1" si="341"/>
        <v/>
      </c>
      <c r="Z766" s="315" t="str">
        <f t="shared" ca="1" si="342"/>
        <v/>
      </c>
      <c r="AA766" s="316" t="str">
        <f t="shared" ca="1" si="343"/>
        <v/>
      </c>
      <c r="AC766" s="310" t="e">
        <f t="shared" ca="1" si="344"/>
        <v>#N/A</v>
      </c>
      <c r="AD766" s="323" t="e">
        <f t="shared" ca="1" si="345"/>
        <v>#N/A</v>
      </c>
      <c r="AE766" s="324">
        <f t="shared" ca="1" si="324"/>
        <v>1905.4414903915695</v>
      </c>
      <c r="AG766" s="306">
        <f t="shared" ca="1" si="346"/>
        <v>-74.087907702549316</v>
      </c>
      <c r="AH766" s="304">
        <f t="shared" ca="1" si="347"/>
        <v>-65.04181257860084</v>
      </c>
    </row>
    <row r="767" spans="1:34" x14ac:dyDescent="0.2">
      <c r="A767" s="347">
        <f t="shared" ca="1" si="325"/>
        <v>0.01</v>
      </c>
      <c r="B767" s="304">
        <f t="shared" ca="1" si="326"/>
        <v>7.6299999999998818</v>
      </c>
      <c r="D767" s="306">
        <f t="shared" ca="1" si="327"/>
        <v>-25.068110085871147</v>
      </c>
      <c r="E767" s="307">
        <f t="shared" ca="1" si="328"/>
        <v>-69.544294021692451</v>
      </c>
      <c r="F767" s="304">
        <f t="shared" ca="1" si="329"/>
        <v>73.924413925664382</v>
      </c>
      <c r="G767" s="306">
        <f t="shared" ca="1" si="330"/>
        <v>157.27404960923599</v>
      </c>
      <c r="H767" s="307">
        <f t="shared" ca="1" si="331"/>
        <v>374.66706136074203</v>
      </c>
      <c r="I767" s="304">
        <f t="shared" ca="1" si="332"/>
        <v>406.33795484692598</v>
      </c>
      <c r="J767" s="306">
        <f t="shared" ca="1" si="333"/>
        <v>743.46163361598542</v>
      </c>
      <c r="K767" s="307">
        <f t="shared" ca="1" si="334"/>
        <v>1909.1916382198779</v>
      </c>
      <c r="L767" s="304">
        <f t="shared" ca="1" si="319"/>
        <v>2048.8406263317925</v>
      </c>
      <c r="M767" s="306">
        <f t="shared" ca="1" si="335"/>
        <v>1.1733637331187718</v>
      </c>
      <c r="N767" s="304">
        <f t="shared" ca="1" si="336"/>
        <v>67.228789741420329</v>
      </c>
      <c r="P767" s="310">
        <f t="shared" ca="1" si="337"/>
        <v>22</v>
      </c>
      <c r="Q767" s="304">
        <f t="shared" ca="1" si="338"/>
        <v>0</v>
      </c>
      <c r="R767" s="306">
        <f t="shared" ca="1" si="339"/>
        <v>0</v>
      </c>
      <c r="S767" s="307">
        <f t="shared" ca="1" si="340"/>
        <v>15.089040186296437</v>
      </c>
      <c r="T767" s="304">
        <f t="shared" ca="1" si="320"/>
        <v>148.02348422756805</v>
      </c>
      <c r="U767" s="311">
        <f t="shared" ca="1" si="321"/>
        <v>0</v>
      </c>
      <c r="V767" s="306">
        <f t="shared" ca="1" si="322"/>
        <v>1.0115042402806449</v>
      </c>
      <c r="W767" s="304">
        <f t="shared" ca="1" si="323"/>
        <v>973.5744020470903</v>
      </c>
      <c r="Y767" s="314" t="str">
        <f t="shared" ca="1" si="341"/>
        <v/>
      </c>
      <c r="Z767" s="315" t="str">
        <f t="shared" ca="1" si="342"/>
        <v/>
      </c>
      <c r="AA767" s="316" t="str">
        <f t="shared" ca="1" si="343"/>
        <v/>
      </c>
      <c r="AC767" s="310" t="e">
        <f t="shared" ca="1" si="344"/>
        <v>#N/A</v>
      </c>
      <c r="AD767" s="323" t="e">
        <f t="shared" ca="1" si="345"/>
        <v>#N/A</v>
      </c>
      <c r="AE767" s="324">
        <f t="shared" ca="1" si="324"/>
        <v>1909.1916382198779</v>
      </c>
      <c r="AG767" s="306">
        <f t="shared" ca="1" si="346"/>
        <v>-73.826880665474874</v>
      </c>
      <c r="AH767" s="304">
        <f t="shared" ca="1" si="347"/>
        <v>-64.78113942767105</v>
      </c>
    </row>
    <row r="768" spans="1:34" x14ac:dyDescent="0.2">
      <c r="A768" s="347">
        <f t="shared" ca="1" si="325"/>
        <v>0.01</v>
      </c>
      <c r="B768" s="304">
        <f t="shared" ca="1" si="326"/>
        <v>7.6399999999998816</v>
      </c>
      <c r="D768" s="306">
        <f t="shared" ca="1" si="327"/>
        <v>-24.973373382438364</v>
      </c>
      <c r="E768" s="307">
        <f t="shared" ca="1" si="328"/>
        <v>-69.302970650342303</v>
      </c>
      <c r="F768" s="304">
        <f t="shared" ca="1" si="329"/>
        <v>73.665263992338254</v>
      </c>
      <c r="G768" s="306">
        <f t="shared" ca="1" si="330"/>
        <v>157.02431587541162</v>
      </c>
      <c r="H768" s="307">
        <f t="shared" ca="1" si="331"/>
        <v>373.97403165423862</v>
      </c>
      <c r="I768" s="304">
        <f t="shared" ca="1" si="332"/>
        <v>405.60228318867547</v>
      </c>
      <c r="J768" s="306">
        <f t="shared" ca="1" si="333"/>
        <v>745.03312544340861</v>
      </c>
      <c r="K768" s="307">
        <f t="shared" ca="1" si="334"/>
        <v>1912.9348436849527</v>
      </c>
      <c r="L768" s="304">
        <f t="shared" ca="1" si="319"/>
        <v>2052.8989439794518</v>
      </c>
      <c r="M768" s="306">
        <f t="shared" ca="1" si="335"/>
        <v>1.173270119659038</v>
      </c>
      <c r="N768" s="304">
        <f t="shared" ca="1" si="336"/>
        <v>67.223426085271953</v>
      </c>
      <c r="P768" s="310">
        <f t="shared" ca="1" si="337"/>
        <v>22</v>
      </c>
      <c r="Q768" s="304">
        <f t="shared" ca="1" si="338"/>
        <v>0</v>
      </c>
      <c r="R768" s="306">
        <f t="shared" ca="1" si="339"/>
        <v>0</v>
      </c>
      <c r="S768" s="307">
        <f t="shared" ca="1" si="340"/>
        <v>15.089040186296437</v>
      </c>
      <c r="T768" s="304">
        <f t="shared" ca="1" si="320"/>
        <v>148.02348422756805</v>
      </c>
      <c r="U768" s="311">
        <f t="shared" ca="1" si="321"/>
        <v>0</v>
      </c>
      <c r="V768" s="306">
        <f t="shared" ca="1" si="322"/>
        <v>1.0111221967545445</v>
      </c>
      <c r="W768" s="304">
        <f t="shared" ca="1" si="323"/>
        <v>969.68590858302389</v>
      </c>
      <c r="Y768" s="314" t="str">
        <f t="shared" ca="1" si="341"/>
        <v/>
      </c>
      <c r="Z768" s="315" t="str">
        <f t="shared" ca="1" si="342"/>
        <v/>
      </c>
      <c r="AA768" s="316" t="str">
        <f t="shared" ca="1" si="343"/>
        <v/>
      </c>
      <c r="AC768" s="310" t="e">
        <f t="shared" ca="1" si="344"/>
        <v>#N/A</v>
      </c>
      <c r="AD768" s="323" t="e">
        <f t="shared" ca="1" si="345"/>
        <v>#N/A</v>
      </c>
      <c r="AE768" s="324">
        <f t="shared" ca="1" si="324"/>
        <v>1912.9348436849527</v>
      </c>
      <c r="AG768" s="306">
        <f t="shared" ca="1" si="346"/>
        <v>-73.567343549421423</v>
      </c>
      <c r="AH768" s="304">
        <f t="shared" ca="1" si="347"/>
        <v>-64.521956998382905</v>
      </c>
    </row>
    <row r="769" spans="1:34" x14ac:dyDescent="0.2">
      <c r="A769" s="347">
        <f t="shared" ca="1" si="325"/>
        <v>0.01</v>
      </c>
      <c r="B769" s="304">
        <f t="shared" ca="1" si="326"/>
        <v>7.6499999999998813</v>
      </c>
      <c r="D769" s="306">
        <f t="shared" ca="1" si="327"/>
        <v>-24.879175761945532</v>
      </c>
      <c r="E769" s="307">
        <f t="shared" ca="1" si="328"/>
        <v>-69.063024680021016</v>
      </c>
      <c r="F769" s="304">
        <f t="shared" ca="1" si="329"/>
        <v>73.407593371169511</v>
      </c>
      <c r="G769" s="306">
        <f t="shared" ca="1" si="330"/>
        <v>156.77552411779217</v>
      </c>
      <c r="H769" s="307">
        <f t="shared" ca="1" si="331"/>
        <v>373.28340140743842</v>
      </c>
      <c r="I769" s="304">
        <f t="shared" ca="1" si="332"/>
        <v>404.86919212100497</v>
      </c>
      <c r="J769" s="306">
        <f t="shared" ca="1" si="333"/>
        <v>746.60212464337462</v>
      </c>
      <c r="K769" s="307">
        <f t="shared" ca="1" si="334"/>
        <v>1916.6711308502611</v>
      </c>
      <c r="L769" s="304">
        <f t="shared" ca="1" si="319"/>
        <v>2056.949915860087</v>
      </c>
      <c r="M769" s="306">
        <f t="shared" ca="1" si="335"/>
        <v>1.1731763157804587</v>
      </c>
      <c r="N769" s="304">
        <f t="shared" ca="1" si="336"/>
        <v>67.218051518927396</v>
      </c>
      <c r="P769" s="310">
        <f t="shared" ca="1" si="337"/>
        <v>22</v>
      </c>
      <c r="Q769" s="304">
        <f t="shared" ca="1" si="338"/>
        <v>0</v>
      </c>
      <c r="R769" s="306">
        <f t="shared" ca="1" si="339"/>
        <v>0</v>
      </c>
      <c r="S769" s="307">
        <f t="shared" ca="1" si="340"/>
        <v>15.089040186296437</v>
      </c>
      <c r="T769" s="304">
        <f t="shared" ca="1" si="320"/>
        <v>148.02348422756805</v>
      </c>
      <c r="U769" s="311">
        <f t="shared" ca="1" si="321"/>
        <v>0</v>
      </c>
      <c r="V769" s="306">
        <f t="shared" ca="1" si="322"/>
        <v>1.0107409894711068</v>
      </c>
      <c r="W769" s="304">
        <f t="shared" ca="1" si="323"/>
        <v>965.81956448595361</v>
      </c>
      <c r="Y769" s="314" t="str">
        <f t="shared" ca="1" si="341"/>
        <v/>
      </c>
      <c r="Z769" s="315" t="str">
        <f t="shared" ca="1" si="342"/>
        <v/>
      </c>
      <c r="AA769" s="316" t="str">
        <f t="shared" ca="1" si="343"/>
        <v/>
      </c>
      <c r="AC769" s="310" t="e">
        <f t="shared" ca="1" si="344"/>
        <v>#N/A</v>
      </c>
      <c r="AD769" s="323" t="e">
        <f t="shared" ca="1" si="345"/>
        <v>#N/A</v>
      </c>
      <c r="AE769" s="324">
        <f t="shared" ca="1" si="324"/>
        <v>1916.6711308502611</v>
      </c>
      <c r="AG769" s="306">
        <f t="shared" ca="1" si="346"/>
        <v>-73.309284892648392</v>
      </c>
      <c r="AH769" s="304">
        <f t="shared" ca="1" si="347"/>
        <v>-64.264253829986686</v>
      </c>
    </row>
    <row r="770" spans="1:34" x14ac:dyDescent="0.2">
      <c r="A770" s="347">
        <f t="shared" ca="1" si="325"/>
        <v>0.01</v>
      </c>
      <c r="B770" s="304">
        <f t="shared" ca="1" si="326"/>
        <v>7.6599999999998811</v>
      </c>
      <c r="D770" s="306">
        <f t="shared" ca="1" si="327"/>
        <v>-24.785513086036264</v>
      </c>
      <c r="E770" s="307">
        <f t="shared" ca="1" si="328"/>
        <v>-68.824445542103589</v>
      </c>
      <c r="F770" s="304">
        <f t="shared" ca="1" si="329"/>
        <v>73.151390712111947</v>
      </c>
      <c r="G770" s="306">
        <f t="shared" ca="1" si="330"/>
        <v>156.52766898693181</v>
      </c>
      <c r="H770" s="307">
        <f t="shared" ca="1" si="331"/>
        <v>372.59515695201736</v>
      </c>
      <c r="I770" s="304">
        <f t="shared" ca="1" si="332"/>
        <v>404.13866697283612</v>
      </c>
      <c r="J770" s="306">
        <f t="shared" ca="1" si="333"/>
        <v>748.16864060889827</v>
      </c>
      <c r="K770" s="307">
        <f t="shared" ca="1" si="334"/>
        <v>1920.4005236420583</v>
      </c>
      <c r="L770" s="304">
        <f t="shared" ca="1" si="319"/>
        <v>2060.9935676744017</v>
      </c>
      <c r="M770" s="306">
        <f t="shared" ca="1" si="335"/>
        <v>1.1730823213471964</v>
      </c>
      <c r="N770" s="304">
        <f t="shared" ca="1" si="336"/>
        <v>67.212666034603743</v>
      </c>
      <c r="P770" s="310">
        <f t="shared" ca="1" si="337"/>
        <v>22</v>
      </c>
      <c r="Q770" s="304">
        <f t="shared" ca="1" si="338"/>
        <v>0</v>
      </c>
      <c r="R770" s="306">
        <f t="shared" ca="1" si="339"/>
        <v>0</v>
      </c>
      <c r="S770" s="307">
        <f t="shared" ca="1" si="340"/>
        <v>15.089040186296437</v>
      </c>
      <c r="T770" s="304">
        <f t="shared" ca="1" si="320"/>
        <v>148.02348422756805</v>
      </c>
      <c r="U770" s="311">
        <f t="shared" ca="1" si="321"/>
        <v>0</v>
      </c>
      <c r="V770" s="306">
        <f t="shared" ca="1" si="322"/>
        <v>1.0103606152018743</v>
      </c>
      <c r="W770" s="304">
        <f t="shared" ca="1" si="323"/>
        <v>961.97520014804434</v>
      </c>
      <c r="Y770" s="314" t="str">
        <f t="shared" ca="1" si="341"/>
        <v/>
      </c>
      <c r="Z770" s="315" t="str">
        <f t="shared" ca="1" si="342"/>
        <v/>
      </c>
      <c r="AA770" s="316" t="str">
        <f t="shared" ca="1" si="343"/>
        <v/>
      </c>
      <c r="AC770" s="310" t="e">
        <f t="shared" ca="1" si="344"/>
        <v>#N/A</v>
      </c>
      <c r="AD770" s="323" t="e">
        <f t="shared" ca="1" si="345"/>
        <v>#N/A</v>
      </c>
      <c r="AE770" s="324">
        <f t="shared" ca="1" si="324"/>
        <v>1920.4005236420583</v>
      </c>
      <c r="AG770" s="306">
        <f t="shared" ca="1" si="346"/>
        <v>-73.052693344198531</v>
      </c>
      <c r="AH770" s="304">
        <f t="shared" ca="1" si="347"/>
        <v>-64.008018572519376</v>
      </c>
    </row>
    <row r="771" spans="1:34" x14ac:dyDescent="0.2">
      <c r="A771" s="347">
        <f t="shared" ca="1" si="325"/>
        <v>0.01</v>
      </c>
      <c r="B771" s="304">
        <f t="shared" ca="1" si="326"/>
        <v>7.6699999999998809</v>
      </c>
      <c r="D771" s="306">
        <f t="shared" ca="1" si="327"/>
        <v>-24.692381256277908</v>
      </c>
      <c r="E771" s="307">
        <f t="shared" ca="1" si="328"/>
        <v>-68.587222769924651</v>
      </c>
      <c r="F771" s="304">
        <f t="shared" ca="1" si="329"/>
        <v>72.896644774616718</v>
      </c>
      <c r="G771" s="306">
        <f t="shared" ca="1" si="330"/>
        <v>156.28074517436903</v>
      </c>
      <c r="H771" s="307">
        <f t="shared" ca="1" si="331"/>
        <v>371.90928472431813</v>
      </c>
      <c r="I771" s="304">
        <f t="shared" ca="1" si="332"/>
        <v>403.41069318550541</v>
      </c>
      <c r="J771" s="306">
        <f t="shared" ca="1" si="333"/>
        <v>749.73268267970479</v>
      </c>
      <c r="K771" s="307">
        <f t="shared" ca="1" si="334"/>
        <v>1924.1230458504399</v>
      </c>
      <c r="L771" s="304">
        <f t="shared" ca="1" si="319"/>
        <v>2065.0299249770887</v>
      </c>
      <c r="M771" s="306">
        <f t="shared" ca="1" si="335"/>
        <v>1.1729881362228889</v>
      </c>
      <c r="N771" s="304">
        <f t="shared" ca="1" si="336"/>
        <v>67.207269624488021</v>
      </c>
      <c r="P771" s="310">
        <f t="shared" ca="1" si="337"/>
        <v>22</v>
      </c>
      <c r="Q771" s="304">
        <f t="shared" ca="1" si="338"/>
        <v>0</v>
      </c>
      <c r="R771" s="306">
        <f t="shared" ca="1" si="339"/>
        <v>0</v>
      </c>
      <c r="S771" s="307">
        <f t="shared" ca="1" si="340"/>
        <v>15.089040186296437</v>
      </c>
      <c r="T771" s="304">
        <f t="shared" ca="1" si="320"/>
        <v>148.02348422756805</v>
      </c>
      <c r="U771" s="311">
        <f t="shared" ca="1" si="321"/>
        <v>0</v>
      </c>
      <c r="V771" s="306">
        <f t="shared" ca="1" si="322"/>
        <v>1.0099810707377046</v>
      </c>
      <c r="W771" s="304">
        <f t="shared" ca="1" si="323"/>
        <v>958.15264759449781</v>
      </c>
      <c r="Y771" s="314" t="str">
        <f t="shared" ca="1" si="341"/>
        <v/>
      </c>
      <c r="Z771" s="315" t="str">
        <f t="shared" ca="1" si="342"/>
        <v/>
      </c>
      <c r="AA771" s="316" t="str">
        <f t="shared" ca="1" si="343"/>
        <v/>
      </c>
      <c r="AC771" s="310" t="e">
        <f t="shared" ca="1" si="344"/>
        <v>#N/A</v>
      </c>
      <c r="AD771" s="323" t="e">
        <f t="shared" ca="1" si="345"/>
        <v>#N/A</v>
      </c>
      <c r="AE771" s="324">
        <f t="shared" ca="1" si="324"/>
        <v>1924.1230458504399</v>
      </c>
      <c r="AG771" s="306">
        <f t="shared" ca="1" si="346"/>
        <v>-72.797557662608668</v>
      </c>
      <c r="AH771" s="304">
        <f t="shared" ca="1" si="347"/>
        <v>-63.753239985515506</v>
      </c>
    </row>
    <row r="772" spans="1:34" x14ac:dyDescent="0.2">
      <c r="A772" s="347">
        <f t="shared" ca="1" si="325"/>
        <v>0.01</v>
      </c>
      <c r="B772" s="304">
        <f t="shared" ca="1" si="326"/>
        <v>7.6799999999998807</v>
      </c>
      <c r="D772" s="306">
        <f t="shared" ca="1" si="327"/>
        <v>-24.599776213698043</v>
      </c>
      <c r="E772" s="307">
        <f t="shared" ca="1" si="328"/>
        <v>-68.351345997595118</v>
      </c>
      <c r="F772" s="304">
        <f t="shared" ca="1" si="329"/>
        <v>72.643344426361494</v>
      </c>
      <c r="G772" s="306">
        <f t="shared" ca="1" si="330"/>
        <v>156.03474741223204</v>
      </c>
      <c r="H772" s="307">
        <f t="shared" ca="1" si="331"/>
        <v>371.2257712643422</v>
      </c>
      <c r="I772" s="304">
        <f t="shared" ca="1" si="332"/>
        <v>402.68525631168171</v>
      </c>
      <c r="J772" s="306">
        <f t="shared" ca="1" si="333"/>
        <v>751.29426014263777</v>
      </c>
      <c r="K772" s="307">
        <f t="shared" ca="1" si="334"/>
        <v>1927.8387211303832</v>
      </c>
      <c r="L772" s="304">
        <f t="shared" ref="L772:L835" ca="1" si="348">SQRT(pos_x^2+pos_z^2)</f>
        <v>2069.0590131779481</v>
      </c>
      <c r="M772" s="306">
        <f t="shared" ca="1" si="335"/>
        <v>1.1728937602706473</v>
      </c>
      <c r="N772" s="304">
        <f t="shared" ca="1" si="336"/>
        <v>67.201862280737046</v>
      </c>
      <c r="P772" s="310">
        <f t="shared" ca="1" si="337"/>
        <v>22</v>
      </c>
      <c r="Q772" s="304">
        <f t="shared" ca="1" si="338"/>
        <v>0</v>
      </c>
      <c r="R772" s="306">
        <f t="shared" ca="1" si="339"/>
        <v>0</v>
      </c>
      <c r="S772" s="307">
        <f t="shared" ca="1" si="340"/>
        <v>15.089040186296437</v>
      </c>
      <c r="T772" s="304">
        <f t="shared" ref="T772:T835" ca="1" si="349">m*g</f>
        <v>148.02348422756805</v>
      </c>
      <c r="U772" s="311">
        <f t="shared" ref="U772:U835" ca="1" si="350">IF(pos_xz&lt;L_rampe,Poids*COS(Beta),0)</f>
        <v>0</v>
      </c>
      <c r="V772" s="306">
        <f t="shared" ref="V772:V835" ca="1" si="351">Rho_moyen*(20000-Alt_rampe-pos_z)/(20000+Alt_rampe+pos_z)</f>
        <v>1.0096023528886138</v>
      </c>
      <c r="W772" s="304">
        <f t="shared" ref="W772:W835" ca="1" si="352">1/2*Rho*Sref*Cx*vit_xz^2</f>
        <v>954.351740464626</v>
      </c>
      <c r="Y772" s="314" t="str">
        <f t="shared" ca="1" si="341"/>
        <v/>
      </c>
      <c r="Z772" s="315" t="str">
        <f t="shared" ca="1" si="342"/>
        <v/>
      </c>
      <c r="AA772" s="316" t="str">
        <f t="shared" ca="1" si="343"/>
        <v/>
      </c>
      <c r="AC772" s="310" t="e">
        <f t="shared" ca="1" si="344"/>
        <v>#N/A</v>
      </c>
      <c r="AD772" s="323" t="e">
        <f t="shared" ca="1" si="345"/>
        <v>#N/A</v>
      </c>
      <c r="AE772" s="324">
        <f t="shared" ref="AE772:AE835" ca="1" si="353">IF(t&lt;T_para, pos_z, NA())</f>
        <v>1927.8387211303832</v>
      </c>
      <c r="AG772" s="306">
        <f t="shared" ca="1" si="346"/>
        <v>-72.543866714638995</v>
      </c>
      <c r="AH772" s="304">
        <f t="shared" ca="1" si="347"/>
        <v>-63.499906936736295</v>
      </c>
    </row>
    <row r="773" spans="1:34" x14ac:dyDescent="0.2">
      <c r="A773" s="347">
        <f t="shared" ref="A773:A836" ca="1" si="354">IF(B772+0.01&lt;=T_ini+ROUNDUP(Temps_fin_propu,0), 0.01, IF(K772&gt;0, 0.1, 0.0001))</f>
        <v>0.01</v>
      </c>
      <c r="B773" s="304">
        <f t="shared" ref="B773:B836" ca="1" si="355">B772+pas</f>
        <v>7.6899999999998805</v>
      </c>
      <c r="D773" s="306">
        <f t="shared" ref="D773:D836" ca="1" si="356">IF(AND(L772&lt;L_rampe,Poussee&lt;Poids*SIN(M772)),0,(-W772+Poussee)/m*COS(M772)-U772/m*SIN(M772))</f>
        <v>-24.507693938327236</v>
      </c>
      <c r="E773" s="307">
        <f t="shared" ref="E773:E836" ca="1" si="357">IF(AND(L772&lt;L_rampe,Poussee&lt;Poids*SIN(M772)),0,(-W772+Poussee)/m*SIN(M772)+U772/m*COS(M772)-Poids/m)</f>
        <v>-68.116804958834209</v>
      </c>
      <c r="F773" s="304">
        <f t="shared" ref="F773:F836" ca="1" si="358">SQRT(acc_x^2+acc_z^2)</f>
        <v>72.39147864199613</v>
      </c>
      <c r="G773" s="306">
        <f t="shared" ref="G773:G836" ca="1" si="359">G772+acc_x*pas</f>
        <v>155.78967047284877</v>
      </c>
      <c r="H773" s="307">
        <f t="shared" ref="H773:H836" ca="1" si="360">H772+acc_z*pas</f>
        <v>370.54460321475386</v>
      </c>
      <c r="I773" s="304">
        <f t="shared" ref="I773:I836" ca="1" si="361">SQRT(vit_x^2+vit_z^2)</f>
        <v>401.96234201429638</v>
      </c>
      <c r="J773" s="306">
        <f t="shared" ref="J773:J836" ca="1" si="362">J772+0.5*(vit_x+G772)*pas*(K772&gt;=0)</f>
        <v>752.85338223206315</v>
      </c>
      <c r="K773" s="307">
        <f t="shared" ref="K773:K836" ca="1" si="363">K772+0.5*(vit_z+H772)*pas</f>
        <v>1931.5475730027786</v>
      </c>
      <c r="L773" s="304">
        <f t="shared" ca="1" si="348"/>
        <v>2073.0808575429905</v>
      </c>
      <c r="M773" s="306">
        <f t="shared" ref="M773:M836" ca="1" si="364">IF(AND(L772&gt;L_rampe,G773&gt;0),ATAN2(G773,H773),$M$4)</f>
        <v>1.1727991933530553</v>
      </c>
      <c r="N773" s="304">
        <f t="shared" ref="N773:N836" ca="1" si="365">DEGREES(Beta)</f>
        <v>67.196443995477452</v>
      </c>
      <c r="P773" s="310">
        <f t="shared" ref="P773:P836" ca="1" si="366">MATCH(t-pas/2-T_ini,CdP_t)</f>
        <v>22</v>
      </c>
      <c r="Q773" s="304">
        <f t="shared" ref="Q773:Q836" ca="1" si="367">(INDEX(CdP,2,i_P+1)-INDEX(CdP,2,i_P+0))/(INDEX(CdP,1,i_P+1)-INDEX(CdP,1,i_P+0))*(t-pas/2-T_ini-INDEX(CdP,1,i_P+0))+INDEX(CdP,2,i_P+0)</f>
        <v>0</v>
      </c>
      <c r="R773" s="306">
        <f t="shared" ref="R773:R836" ca="1" si="368">Poussee/(g*ISP)</f>
        <v>0</v>
      </c>
      <c r="S773" s="307">
        <f t="shared" ref="S773:S836" ca="1" si="369">S772-Débit*pas</f>
        <v>15.089040186296437</v>
      </c>
      <c r="T773" s="304">
        <f t="shared" ca="1" si="349"/>
        <v>148.02348422756805</v>
      </c>
      <c r="U773" s="311">
        <f t="shared" ca="1" si="350"/>
        <v>0</v>
      </c>
      <c r="V773" s="306">
        <f t="shared" ca="1" si="351"/>
        <v>1.0092244584836254</v>
      </c>
      <c r="W773" s="304">
        <f t="shared" ca="1" si="352"/>
        <v>950.57231399318391</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f t="shared" ca="1" si="353"/>
        <v>1931.5475730027786</v>
      </c>
      <c r="AG773" s="306">
        <f t="shared" ref="AG773:AG836" ca="1" si="375">IF(AND(L772&lt;L_rampe,Poussee&lt;Poids*SIN(M772)),0,(-W772+Poussee)/m-Poids*SIN(M772)/m)</f>
        <v>-72.291609474018614</v>
      </c>
      <c r="AH773" s="304">
        <f t="shared" ref="AH773:AH836" ca="1" si="376">IF(AND(L772&lt;L_rampe,Poussee&lt;Poids*SIN(M772)), g*SIN(M772), (-W772+Poussee)/m)</f>
        <v>-63.248008400915325</v>
      </c>
    </row>
    <row r="774" spans="1:34" x14ac:dyDescent="0.2">
      <c r="A774" s="347">
        <f t="shared" ca="1" si="354"/>
        <v>0.01</v>
      </c>
      <c r="B774" s="304">
        <f t="shared" ca="1" si="355"/>
        <v>7.6999999999998803</v>
      </c>
      <c r="D774" s="306">
        <f t="shared" ca="1" si="356"/>
        <v>-24.416130448747989</v>
      </c>
      <c r="E774" s="307">
        <f t="shared" ca="1" si="357"/>
        <v>-67.883589485817438</v>
      </c>
      <c r="F774" s="304">
        <f t="shared" ca="1" si="358"/>
        <v>72.141036501905504</v>
      </c>
      <c r="G774" s="306">
        <f t="shared" ca="1" si="359"/>
        <v>155.54550916836129</v>
      </c>
      <c r="H774" s="307">
        <f t="shared" ca="1" si="360"/>
        <v>369.86576731989567</v>
      </c>
      <c r="I774" s="304">
        <f t="shared" ca="1" si="361"/>
        <v>401.24193606548653</v>
      </c>
      <c r="J774" s="306">
        <f t="shared" ca="1" si="362"/>
        <v>754.41005813026925</v>
      </c>
      <c r="K774" s="307">
        <f t="shared" ca="1" si="363"/>
        <v>1935.2496248554519</v>
      </c>
      <c r="L774" s="304">
        <f t="shared" ca="1" si="348"/>
        <v>2077.0954831955328</v>
      </c>
      <c r="M774" s="306">
        <f t="shared" ca="1" si="364"/>
        <v>1.1727044353321709</v>
      </c>
      <c r="N774" s="304">
        <f t="shared" ca="1" si="365"/>
        <v>67.191014760805771</v>
      </c>
      <c r="P774" s="310">
        <f t="shared" ca="1" si="366"/>
        <v>22</v>
      </c>
      <c r="Q774" s="304">
        <f t="shared" ca="1" si="367"/>
        <v>0</v>
      </c>
      <c r="R774" s="306">
        <f t="shared" ca="1" si="368"/>
        <v>0</v>
      </c>
      <c r="S774" s="307">
        <f t="shared" ca="1" si="369"/>
        <v>15.089040186296437</v>
      </c>
      <c r="T774" s="304">
        <f t="shared" ca="1" si="349"/>
        <v>148.02348422756805</v>
      </c>
      <c r="U774" s="311">
        <f t="shared" ca="1" si="350"/>
        <v>0</v>
      </c>
      <c r="V774" s="306">
        <f t="shared" ca="1" si="351"/>
        <v>1.0088473843706212</v>
      </c>
      <c r="W774" s="304">
        <f t="shared" ca="1" si="352"/>
        <v>946.81420499195906</v>
      </c>
      <c r="Y774" s="314" t="str">
        <f t="shared" ca="1" si="370"/>
        <v/>
      </c>
      <c r="Z774" s="315" t="str">
        <f t="shared" ca="1" si="371"/>
        <v/>
      </c>
      <c r="AA774" s="316" t="str">
        <f t="shared" ca="1" si="372"/>
        <v/>
      </c>
      <c r="AC774" s="310" t="e">
        <f t="shared" ca="1" si="373"/>
        <v>#N/A</v>
      </c>
      <c r="AD774" s="323" t="e">
        <f t="shared" ca="1" si="374"/>
        <v>#N/A</v>
      </c>
      <c r="AE774" s="324">
        <f t="shared" ca="1" si="353"/>
        <v>1935.2496248554519</v>
      </c>
      <c r="AG774" s="306">
        <f t="shared" ca="1" si="375"/>
        <v>-72.040775020208429</v>
      </c>
      <c r="AH774" s="304">
        <f t="shared" ca="1" si="376"/>
        <v>-62.99753345852141</v>
      </c>
    </row>
    <row r="775" spans="1:34" x14ac:dyDescent="0.2">
      <c r="A775" s="347">
        <f t="shared" ca="1" si="354"/>
        <v>0.01</v>
      </c>
      <c r="B775" s="304">
        <f t="shared" ca="1" si="355"/>
        <v>7.7099999999998801</v>
      </c>
      <c r="D775" s="306">
        <f t="shared" ca="1" si="356"/>
        <v>-24.32508180164977</v>
      </c>
      <c r="E775" s="307">
        <f t="shared" ca="1" si="357"/>
        <v>-67.651689508040505</v>
      </c>
      <c r="F775" s="304">
        <f t="shared" ca="1" si="358"/>
        <v>71.892007190989389</v>
      </c>
      <c r="G775" s="306">
        <f t="shared" ca="1" si="359"/>
        <v>155.3022583503448</v>
      </c>
      <c r="H775" s="307">
        <f t="shared" ca="1" si="360"/>
        <v>369.18925042481527</v>
      </c>
      <c r="I775" s="304">
        <f t="shared" ca="1" si="361"/>
        <v>400.52402434554938</v>
      </c>
      <c r="J775" s="306">
        <f t="shared" ca="1" si="362"/>
        <v>755.96429696786277</v>
      </c>
      <c r="K775" s="307">
        <f t="shared" ca="1" si="363"/>
        <v>1938.9448999441754</v>
      </c>
      <c r="L775" s="304">
        <f t="shared" ca="1" si="348"/>
        <v>2081.1029151172806</v>
      </c>
      <c r="M775" s="306">
        <f t="shared" ca="1" si="364"/>
        <v>1.1726094860695249</v>
      </c>
      <c r="N775" s="304">
        <f t="shared" ca="1" si="365"/>
        <v>67.185574568788269</v>
      </c>
      <c r="P775" s="310">
        <f t="shared" ca="1" si="366"/>
        <v>22</v>
      </c>
      <c r="Q775" s="304">
        <f t="shared" ca="1" si="367"/>
        <v>0</v>
      </c>
      <c r="R775" s="306">
        <f t="shared" ca="1" si="368"/>
        <v>0</v>
      </c>
      <c r="S775" s="307">
        <f t="shared" ca="1" si="369"/>
        <v>15.089040186296437</v>
      </c>
      <c r="T775" s="304">
        <f t="shared" ca="1" si="349"/>
        <v>148.02348422756805</v>
      </c>
      <c r="U775" s="311">
        <f t="shared" ca="1" si="350"/>
        <v>0</v>
      </c>
      <c r="V775" s="306">
        <f t="shared" ca="1" si="351"/>
        <v>1.0084711274161908</v>
      </c>
      <c r="W775" s="304">
        <f t="shared" ca="1" si="352"/>
        <v>943.07725183160392</v>
      </c>
      <c r="Y775" s="314" t="str">
        <f t="shared" ca="1" si="370"/>
        <v/>
      </c>
      <c r="Z775" s="315" t="str">
        <f t="shared" ca="1" si="371"/>
        <v/>
      </c>
      <c r="AA775" s="316" t="str">
        <f t="shared" ca="1" si="372"/>
        <v/>
      </c>
      <c r="AC775" s="310" t="e">
        <f t="shared" ca="1" si="373"/>
        <v>#N/A</v>
      </c>
      <c r="AD775" s="323" t="e">
        <f t="shared" ca="1" si="374"/>
        <v>#N/A</v>
      </c>
      <c r="AE775" s="324">
        <f t="shared" ca="1" si="353"/>
        <v>1938.9448999441754</v>
      </c>
      <c r="AG775" s="306">
        <f t="shared" ca="1" si="375"/>
        <v>-71.791352537181012</v>
      </c>
      <c r="AH775" s="304">
        <f t="shared" ca="1" si="376"/>
        <v>-62.748471294538447</v>
      </c>
    </row>
    <row r="776" spans="1:34" x14ac:dyDescent="0.2">
      <c r="A776" s="347">
        <f t="shared" ca="1" si="354"/>
        <v>0.01</v>
      </c>
      <c r="B776" s="304">
        <f t="shared" ca="1" si="355"/>
        <v>7.7199999999998798</v>
      </c>
      <c r="D776" s="306">
        <f t="shared" ca="1" si="356"/>
        <v>-24.234544091390102</v>
      </c>
      <c r="E776" s="307">
        <f t="shared" ca="1" si="357"/>
        <v>-67.421095051198151</v>
      </c>
      <c r="F776" s="304">
        <f t="shared" ca="1" si="358"/>
        <v>71.644379997458472</v>
      </c>
      <c r="G776" s="306">
        <f t="shared" ca="1" si="359"/>
        <v>155.05991290943089</v>
      </c>
      <c r="H776" s="307">
        <f t="shared" ca="1" si="360"/>
        <v>368.51503947430331</v>
      </c>
      <c r="I776" s="304">
        <f t="shared" ca="1" si="361"/>
        <v>399.80859284190933</v>
      </c>
      <c r="J776" s="306">
        <f t="shared" ca="1" si="362"/>
        <v>757.51610782416162</v>
      </c>
      <c r="K776" s="307">
        <f t="shared" ca="1" si="363"/>
        <v>1942.6334213936709</v>
      </c>
      <c r="L776" s="304">
        <f t="shared" ca="1" si="348"/>
        <v>2085.1031781494044</v>
      </c>
      <c r="M776" s="306">
        <f t="shared" ca="1" si="364"/>
        <v>1.1725143454261209</v>
      </c>
      <c r="N776" s="304">
        <f t="shared" ca="1" si="365"/>
        <v>67.180123411461068</v>
      </c>
      <c r="P776" s="310">
        <f t="shared" ca="1" si="366"/>
        <v>22</v>
      </c>
      <c r="Q776" s="304">
        <f t="shared" ca="1" si="367"/>
        <v>0</v>
      </c>
      <c r="R776" s="306">
        <f t="shared" ca="1" si="368"/>
        <v>0</v>
      </c>
      <c r="S776" s="307">
        <f t="shared" ca="1" si="369"/>
        <v>15.089040186296437</v>
      </c>
      <c r="T776" s="304">
        <f t="shared" ca="1" si="349"/>
        <v>148.02348422756805</v>
      </c>
      <c r="U776" s="311">
        <f t="shared" ca="1" si="350"/>
        <v>0</v>
      </c>
      <c r="V776" s="306">
        <f t="shared" ca="1" si="351"/>
        <v>1.0080956845054836</v>
      </c>
      <c r="W776" s="304">
        <f t="shared" ca="1" si="352"/>
        <v>939.36129442371191</v>
      </c>
      <c r="Y776" s="314" t="str">
        <f t="shared" ca="1" si="370"/>
        <v/>
      </c>
      <c r="Z776" s="315" t="str">
        <f t="shared" ca="1" si="371"/>
        <v/>
      </c>
      <c r="AA776" s="316" t="str">
        <f t="shared" ca="1" si="372"/>
        <v/>
      </c>
      <c r="AC776" s="310" t="e">
        <f t="shared" ca="1" si="373"/>
        <v>#N/A</v>
      </c>
      <c r="AD776" s="323" t="e">
        <f t="shared" ca="1" si="374"/>
        <v>#N/A</v>
      </c>
      <c r="AE776" s="324">
        <f t="shared" ca="1" si="353"/>
        <v>1942.6334213936709</v>
      </c>
      <c r="AG776" s="306">
        <f t="shared" ca="1" si="375"/>
        <v>-71.543331312216623</v>
      </c>
      <c r="AH776" s="304">
        <f t="shared" ca="1" si="376"/>
        <v>-62.50081119726142</v>
      </c>
    </row>
    <row r="777" spans="1:34" x14ac:dyDescent="0.2">
      <c r="A777" s="347">
        <f t="shared" ca="1" si="354"/>
        <v>0.01</v>
      </c>
      <c r="B777" s="304">
        <f t="shared" ca="1" si="355"/>
        <v>7.7299999999998796</v>
      </c>
      <c r="D777" s="306">
        <f t="shared" ca="1" si="356"/>
        <v>-24.144513449561416</v>
      </c>
      <c r="E777" s="307">
        <f t="shared" ca="1" si="357"/>
        <v>-67.191796236078048</v>
      </c>
      <c r="F777" s="304">
        <f t="shared" ca="1" si="358"/>
        <v>71.398144311646391</v>
      </c>
      <c r="G777" s="306">
        <f t="shared" ca="1" si="359"/>
        <v>154.81846777493527</v>
      </c>
      <c r="H777" s="307">
        <f t="shared" ca="1" si="360"/>
        <v>367.84312151194251</v>
      </c>
      <c r="I777" s="304">
        <f t="shared" ca="1" si="361"/>
        <v>399.09562764809681</v>
      </c>
      <c r="J777" s="306">
        <f t="shared" ca="1" si="362"/>
        <v>759.06549972758341</v>
      </c>
      <c r="K777" s="307">
        <f t="shared" ca="1" si="363"/>
        <v>1946.3152121986022</v>
      </c>
      <c r="L777" s="304">
        <f t="shared" ca="1" si="348"/>
        <v>2089.0962969936008</v>
      </c>
      <c r="M777" s="306">
        <f t="shared" ca="1" si="364"/>
        <v>1.1724190132624348</v>
      </c>
      <c r="N777" s="304">
        <f t="shared" ca="1" si="365"/>
        <v>67.174661280830009</v>
      </c>
      <c r="P777" s="310">
        <f t="shared" ca="1" si="366"/>
        <v>22</v>
      </c>
      <c r="Q777" s="304">
        <f t="shared" ca="1" si="367"/>
        <v>0</v>
      </c>
      <c r="R777" s="306">
        <f t="shared" ca="1" si="368"/>
        <v>0</v>
      </c>
      <c r="S777" s="307">
        <f t="shared" ca="1" si="369"/>
        <v>15.089040186296437</v>
      </c>
      <c r="T777" s="304">
        <f t="shared" ca="1" si="349"/>
        <v>148.02348422756805</v>
      </c>
      <c r="U777" s="311">
        <f t="shared" ca="1" si="350"/>
        <v>0</v>
      </c>
      <c r="V777" s="306">
        <f t="shared" ca="1" si="351"/>
        <v>1.0077210525420652</v>
      </c>
      <c r="W777" s="304">
        <f t="shared" ca="1" si="352"/>
        <v>935.66617420314083</v>
      </c>
      <c r="Y777" s="314" t="str">
        <f t="shared" ca="1" si="370"/>
        <v/>
      </c>
      <c r="Z777" s="315" t="str">
        <f t="shared" ca="1" si="371"/>
        <v/>
      </c>
      <c r="AA777" s="316" t="str">
        <f t="shared" ca="1" si="372"/>
        <v/>
      </c>
      <c r="AC777" s="310" t="e">
        <f t="shared" ca="1" si="373"/>
        <v>#N/A</v>
      </c>
      <c r="AD777" s="323" t="e">
        <f t="shared" ca="1" si="374"/>
        <v>#N/A</v>
      </c>
      <c r="AE777" s="324">
        <f t="shared" ca="1" si="353"/>
        <v>1946.3152121986022</v>
      </c>
      <c r="AG777" s="306">
        <f t="shared" ca="1" si="375"/>
        <v>-71.296700734715245</v>
      </c>
      <c r="AH777" s="304">
        <f t="shared" ca="1" si="376"/>
        <v>-62.2545425571085</v>
      </c>
    </row>
    <row r="778" spans="1:34" x14ac:dyDescent="0.2">
      <c r="A778" s="347">
        <f t="shared" ca="1" si="354"/>
        <v>0.01</v>
      </c>
      <c r="B778" s="304">
        <f t="shared" ca="1" si="355"/>
        <v>7.7399999999998794</v>
      </c>
      <c r="D778" s="306">
        <f t="shared" ca="1" si="356"/>
        <v>-24.054986044563947</v>
      </c>
      <c r="E778" s="307">
        <f t="shared" ca="1" si="357"/>
        <v>-66.963783277469972</v>
      </c>
      <c r="F778" s="304">
        <f t="shared" ca="1" si="358"/>
        <v>71.153289624838379</v>
      </c>
      <c r="G778" s="306">
        <f t="shared" ca="1" si="359"/>
        <v>154.57791791448963</v>
      </c>
      <c r="H778" s="307">
        <f t="shared" ca="1" si="360"/>
        <v>367.17348367916782</v>
      </c>
      <c r="I778" s="304">
        <f t="shared" ca="1" si="361"/>
        <v>398.38511496273907</v>
      </c>
      <c r="J778" s="306">
        <f t="shared" ca="1" si="362"/>
        <v>760.61248165603058</v>
      </c>
      <c r="K778" s="307">
        <f t="shared" ca="1" si="363"/>
        <v>1949.9902952245577</v>
      </c>
      <c r="L778" s="304">
        <f t="shared" ca="1" si="348"/>
        <v>2093.0822962131479</v>
      </c>
      <c r="M778" s="306">
        <f t="shared" ca="1" si="364"/>
        <v>1.1723234894384151</v>
      </c>
      <c r="N778" s="304">
        <f t="shared" ca="1" si="365"/>
        <v>67.169188168870733</v>
      </c>
      <c r="P778" s="310">
        <f t="shared" ca="1" si="366"/>
        <v>22</v>
      </c>
      <c r="Q778" s="304">
        <f t="shared" ca="1" si="367"/>
        <v>0</v>
      </c>
      <c r="R778" s="306">
        <f t="shared" ca="1" si="368"/>
        <v>0</v>
      </c>
      <c r="S778" s="307">
        <f t="shared" ca="1" si="369"/>
        <v>15.089040186296437</v>
      </c>
      <c r="T778" s="304">
        <f t="shared" ca="1" si="349"/>
        <v>148.02348422756805</v>
      </c>
      <c r="U778" s="311">
        <f t="shared" ca="1" si="350"/>
        <v>0</v>
      </c>
      <c r="V778" s="306">
        <f t="shared" ca="1" si="351"/>
        <v>1.0073472284477707</v>
      </c>
      <c r="W778" s="304">
        <f t="shared" ca="1" si="352"/>
        <v>931.99173411056904</v>
      </c>
      <c r="Y778" s="314" t="str">
        <f t="shared" ca="1" si="370"/>
        <v/>
      </c>
      <c r="Z778" s="315" t="str">
        <f t="shared" ca="1" si="371"/>
        <v/>
      </c>
      <c r="AA778" s="316" t="str">
        <f t="shared" ca="1" si="372"/>
        <v/>
      </c>
      <c r="AC778" s="310" t="e">
        <f t="shared" ca="1" si="373"/>
        <v>#N/A</v>
      </c>
      <c r="AD778" s="323" t="e">
        <f t="shared" ca="1" si="374"/>
        <v>#N/A</v>
      </c>
      <c r="AE778" s="324">
        <f t="shared" ca="1" si="353"/>
        <v>1949.9902952245577</v>
      </c>
      <c r="AG778" s="306">
        <f t="shared" ca="1" si="375"/>
        <v>-71.051450295025134</v>
      </c>
      <c r="AH778" s="304">
        <f t="shared" ca="1" si="376"/>
        <v>-62.009654865449562</v>
      </c>
    </row>
    <row r="779" spans="1:34" x14ac:dyDescent="0.2">
      <c r="A779" s="347">
        <f t="shared" ca="1" si="354"/>
        <v>0.01</v>
      </c>
      <c r="B779" s="304">
        <f t="shared" ca="1" si="355"/>
        <v>7.7499999999998792</v>
      </c>
      <c r="D779" s="306">
        <f t="shared" ca="1" si="356"/>
        <v>-23.965958081184205</v>
      </c>
      <c r="E779" s="307">
        <f t="shared" ca="1" si="357"/>
        <v>-66.737046483089287</v>
      </c>
      <c r="F779" s="304">
        <f t="shared" ca="1" si="358"/>
        <v>70.909805528115072</v>
      </c>
      <c r="G779" s="306">
        <f t="shared" ca="1" si="359"/>
        <v>154.3382583336778</v>
      </c>
      <c r="H779" s="307">
        <f t="shared" ca="1" si="360"/>
        <v>366.50611321433695</v>
      </c>
      <c r="I779" s="304">
        <f t="shared" ca="1" si="361"/>
        <v>397.67704108856151</v>
      </c>
      <c r="J779" s="306">
        <f t="shared" ca="1" si="362"/>
        <v>762.15706253727137</v>
      </c>
      <c r="K779" s="307">
        <f t="shared" ca="1" si="363"/>
        <v>1953.6586932090252</v>
      </c>
      <c r="L779" s="304">
        <f t="shared" ca="1" si="348"/>
        <v>2097.0612002339458</v>
      </c>
      <c r="M779" s="306">
        <f t="shared" ca="1" si="364"/>
        <v>1.1722277738134825</v>
      </c>
      <c r="N779" s="304">
        <f t="shared" ca="1" si="365"/>
        <v>67.163704067528627</v>
      </c>
      <c r="P779" s="310">
        <f t="shared" ca="1" si="366"/>
        <v>22</v>
      </c>
      <c r="Q779" s="304">
        <f t="shared" ca="1" si="367"/>
        <v>0</v>
      </c>
      <c r="R779" s="306">
        <f t="shared" ca="1" si="368"/>
        <v>0</v>
      </c>
      <c r="S779" s="307">
        <f t="shared" ca="1" si="369"/>
        <v>15.089040186296437</v>
      </c>
      <c r="T779" s="304">
        <f t="shared" ca="1" si="349"/>
        <v>148.02348422756805</v>
      </c>
      <c r="U779" s="311">
        <f t="shared" ca="1" si="350"/>
        <v>0</v>
      </c>
      <c r="V779" s="306">
        <f t="shared" ca="1" si="351"/>
        <v>1.0069742091625613</v>
      </c>
      <c r="W779" s="304">
        <f t="shared" ca="1" si="352"/>
        <v>928.33781857528004</v>
      </c>
      <c r="Y779" s="314" t="str">
        <f t="shared" ca="1" si="370"/>
        <v/>
      </c>
      <c r="Z779" s="315" t="str">
        <f t="shared" ca="1" si="371"/>
        <v/>
      </c>
      <c r="AA779" s="316" t="str">
        <f t="shared" ca="1" si="372"/>
        <v/>
      </c>
      <c r="AC779" s="310" t="e">
        <f t="shared" ca="1" si="373"/>
        <v>#N/A</v>
      </c>
      <c r="AD779" s="323" t="e">
        <f t="shared" ca="1" si="374"/>
        <v>#N/A</v>
      </c>
      <c r="AE779" s="324">
        <f t="shared" ca="1" si="353"/>
        <v>1953.6586932090252</v>
      </c>
      <c r="AG779" s="306">
        <f t="shared" ca="1" si="375"/>
        <v>-70.807569583286764</v>
      </c>
      <c r="AH779" s="304">
        <f t="shared" ca="1" si="376"/>
        <v>-61.766137713450135</v>
      </c>
    </row>
    <row r="780" spans="1:34" x14ac:dyDescent="0.2">
      <c r="A780" s="347">
        <f t="shared" ca="1" si="354"/>
        <v>0.01</v>
      </c>
      <c r="B780" s="304">
        <f t="shared" ca="1" si="355"/>
        <v>7.759999999999879</v>
      </c>
      <c r="D780" s="306">
        <f t="shared" ca="1" si="356"/>
        <v>-23.877425800178987</v>
      </c>
      <c r="E780" s="307">
        <f t="shared" ca="1" si="357"/>
        <v>-66.511576252514615</v>
      </c>
      <c r="F780" s="304">
        <f t="shared" ca="1" si="358"/>
        <v>70.667681711211657</v>
      </c>
      <c r="G780" s="306">
        <f t="shared" ca="1" si="359"/>
        <v>154.099484075676</v>
      </c>
      <c r="H780" s="307">
        <f t="shared" ca="1" si="360"/>
        <v>365.8409974518118</v>
      </c>
      <c r="I780" s="304">
        <f t="shared" ca="1" si="361"/>
        <v>396.97139243140185</v>
      </c>
      <c r="J780" s="306">
        <f t="shared" ca="1" si="362"/>
        <v>763.69925124931819</v>
      </c>
      <c r="K780" s="307">
        <f t="shared" ca="1" si="363"/>
        <v>1957.320428762356</v>
      </c>
      <c r="L780" s="304">
        <f t="shared" ca="1" si="348"/>
        <v>2101.0330333455545</v>
      </c>
      <c r="M780" s="306">
        <f t="shared" ca="1" si="364"/>
        <v>1.1721318662465297</v>
      </c>
      <c r="N780" s="304">
        <f t="shared" ca="1" si="365"/>
        <v>67.158208968718867</v>
      </c>
      <c r="P780" s="310">
        <f t="shared" ca="1" si="366"/>
        <v>22</v>
      </c>
      <c r="Q780" s="304">
        <f t="shared" ca="1" si="367"/>
        <v>0</v>
      </c>
      <c r="R780" s="306">
        <f t="shared" ca="1" si="368"/>
        <v>0</v>
      </c>
      <c r="S780" s="307">
        <f t="shared" ca="1" si="369"/>
        <v>15.089040186296437</v>
      </c>
      <c r="T780" s="304">
        <f t="shared" ca="1" si="349"/>
        <v>148.02348422756805</v>
      </c>
      <c r="U780" s="311">
        <f t="shared" ca="1" si="350"/>
        <v>0</v>
      </c>
      <c r="V780" s="306">
        <f t="shared" ca="1" si="351"/>
        <v>1.0066019916443842</v>
      </c>
      <c r="W780" s="304">
        <f t="shared" ca="1" si="352"/>
        <v>924.70427349818874</v>
      </c>
      <c r="Y780" s="314" t="str">
        <f t="shared" ca="1" si="370"/>
        <v/>
      </c>
      <c r="Z780" s="315" t="str">
        <f t="shared" ca="1" si="371"/>
        <v/>
      </c>
      <c r="AA780" s="316" t="str">
        <f t="shared" ca="1" si="372"/>
        <v/>
      </c>
      <c r="AC780" s="310" t="e">
        <f t="shared" ca="1" si="373"/>
        <v>#N/A</v>
      </c>
      <c r="AD780" s="323" t="e">
        <f t="shared" ca="1" si="374"/>
        <v>#N/A</v>
      </c>
      <c r="AE780" s="324">
        <f t="shared" ca="1" si="353"/>
        <v>1957.320428762356</v>
      </c>
      <c r="AG780" s="306">
        <f t="shared" ca="1" si="375"/>
        <v>-70.565048288291877</v>
      </c>
      <c r="AH780" s="304">
        <f t="shared" ca="1" si="376"/>
        <v>-61.52398079093048</v>
      </c>
    </row>
    <row r="781" spans="1:34" x14ac:dyDescent="0.2">
      <c r="A781" s="347">
        <f t="shared" ca="1" si="354"/>
        <v>0.01</v>
      </c>
      <c r="B781" s="304">
        <f t="shared" ca="1" si="355"/>
        <v>7.7699999999998788</v>
      </c>
      <c r="D781" s="306">
        <f t="shared" ca="1" si="356"/>
        <v>-23.789385477865217</v>
      </c>
      <c r="E781" s="307">
        <f t="shared" ca="1" si="357"/>
        <v>-66.287363076140323</v>
      </c>
      <c r="F781" s="304">
        <f t="shared" ca="1" si="358"/>
        <v>70.42690796139297</v>
      </c>
      <c r="G781" s="306">
        <f t="shared" ca="1" si="359"/>
        <v>153.86159022089734</v>
      </c>
      <c r="H781" s="307">
        <f t="shared" ca="1" si="360"/>
        <v>365.17812382105041</v>
      </c>
      <c r="I781" s="304">
        <f t="shared" ca="1" si="361"/>
        <v>396.26815549923481</v>
      </c>
      <c r="J781" s="306">
        <f t="shared" ca="1" si="362"/>
        <v>765.23905662080108</v>
      </c>
      <c r="K781" s="307">
        <f t="shared" ca="1" si="363"/>
        <v>1960.9755243687202</v>
      </c>
      <c r="L781" s="304">
        <f t="shared" ca="1" si="348"/>
        <v>2104.9978197022128</v>
      </c>
      <c r="M781" s="306">
        <f t="shared" ca="1" si="364"/>
        <v>1.1720357665959205</v>
      </c>
      <c r="N781" s="304">
        <f t="shared" ca="1" si="365"/>
        <v>67.152702864326272</v>
      </c>
      <c r="P781" s="310">
        <f t="shared" ca="1" si="366"/>
        <v>22</v>
      </c>
      <c r="Q781" s="304">
        <f t="shared" ca="1" si="367"/>
        <v>0</v>
      </c>
      <c r="R781" s="306">
        <f t="shared" ca="1" si="368"/>
        <v>0</v>
      </c>
      <c r="S781" s="307">
        <f t="shared" ca="1" si="369"/>
        <v>15.089040186296437</v>
      </c>
      <c r="T781" s="304">
        <f t="shared" ca="1" si="349"/>
        <v>148.02348422756805</v>
      </c>
      <c r="U781" s="311">
        <f t="shared" ca="1" si="350"/>
        <v>0</v>
      </c>
      <c r="V781" s="306">
        <f t="shared" ca="1" si="351"/>
        <v>1.0062305728690315</v>
      </c>
      <c r="W781" s="304">
        <f t="shared" ca="1" si="352"/>
        <v>921.09094623508463</v>
      </c>
      <c r="Y781" s="314" t="str">
        <f t="shared" ca="1" si="370"/>
        <v/>
      </c>
      <c r="Z781" s="315" t="str">
        <f t="shared" ca="1" si="371"/>
        <v/>
      </c>
      <c r="AA781" s="316" t="str">
        <f t="shared" ca="1" si="372"/>
        <v/>
      </c>
      <c r="AC781" s="310" t="e">
        <f t="shared" ca="1" si="373"/>
        <v>#N/A</v>
      </c>
      <c r="AD781" s="323" t="e">
        <f t="shared" ca="1" si="374"/>
        <v>#N/A</v>
      </c>
      <c r="AE781" s="324">
        <f t="shared" ca="1" si="353"/>
        <v>1960.9755243687202</v>
      </c>
      <c r="AG781" s="306">
        <f t="shared" ca="1" si="375"/>
        <v>-70.323876196358583</v>
      </c>
      <c r="AH781" s="304">
        <f t="shared" ca="1" si="376"/>
        <v>-61.283173885240664</v>
      </c>
    </row>
    <row r="782" spans="1:34" x14ac:dyDescent="0.2">
      <c r="A782" s="347">
        <f t="shared" ca="1" si="354"/>
        <v>0.01</v>
      </c>
      <c r="B782" s="304">
        <f t="shared" ca="1" si="355"/>
        <v>7.7799999999998786</v>
      </c>
      <c r="D782" s="306">
        <f t="shared" ca="1" si="356"/>
        <v>-23.701833425715076</v>
      </c>
      <c r="E782" s="307">
        <f t="shared" ca="1" si="357"/>
        <v>-66.064397534142486</v>
      </c>
      <c r="F782" s="304">
        <f t="shared" ca="1" si="358"/>
        <v>70.187474162342937</v>
      </c>
      <c r="G782" s="306">
        <f t="shared" ca="1" si="359"/>
        <v>153.62457188664018</v>
      </c>
      <c r="H782" s="307">
        <f t="shared" ca="1" si="360"/>
        <v>364.51747984570898</v>
      </c>
      <c r="I782" s="304">
        <f t="shared" ca="1" si="361"/>
        <v>395.5673169012075</v>
      </c>
      <c r="J782" s="306">
        <f t="shared" ca="1" si="362"/>
        <v>766.77648743133875</v>
      </c>
      <c r="K782" s="307">
        <f t="shared" ca="1" si="363"/>
        <v>1964.6240023870541</v>
      </c>
      <c r="L782" s="304">
        <f t="shared" ca="1" si="348"/>
        <v>2108.9555833238569</v>
      </c>
      <c r="M782" s="306">
        <f t="shared" ca="1" si="364"/>
        <v>1.1719394747194907</v>
      </c>
      <c r="N782" s="304">
        <f t="shared" ca="1" si="365"/>
        <v>67.147185746205452</v>
      </c>
      <c r="P782" s="310">
        <f t="shared" ca="1" si="366"/>
        <v>22</v>
      </c>
      <c r="Q782" s="304">
        <f t="shared" ca="1" si="367"/>
        <v>0</v>
      </c>
      <c r="R782" s="306">
        <f t="shared" ca="1" si="368"/>
        <v>0</v>
      </c>
      <c r="S782" s="307">
        <f t="shared" ca="1" si="369"/>
        <v>15.089040186296437</v>
      </c>
      <c r="T782" s="304">
        <f t="shared" ca="1" si="349"/>
        <v>148.02348422756805</v>
      </c>
      <c r="U782" s="311">
        <f t="shared" ca="1" si="350"/>
        <v>0</v>
      </c>
      <c r="V782" s="306">
        <f t="shared" ca="1" si="351"/>
        <v>1.00585994983</v>
      </c>
      <c r="W782" s="304">
        <f t="shared" ca="1" si="352"/>
        <v>917.49768558009885</v>
      </c>
      <c r="Y782" s="314" t="str">
        <f t="shared" ca="1" si="370"/>
        <v/>
      </c>
      <c r="Z782" s="315" t="str">
        <f t="shared" ca="1" si="371"/>
        <v/>
      </c>
      <c r="AA782" s="316" t="str">
        <f t="shared" ca="1" si="372"/>
        <v/>
      </c>
      <c r="AC782" s="310" t="e">
        <f t="shared" ca="1" si="373"/>
        <v>#N/A</v>
      </c>
      <c r="AD782" s="323" t="e">
        <f t="shared" ca="1" si="374"/>
        <v>#N/A</v>
      </c>
      <c r="AE782" s="324">
        <f t="shared" ca="1" si="353"/>
        <v>1964.6240023870541</v>
      </c>
      <c r="AG782" s="306">
        <f t="shared" ca="1" si="375"/>
        <v>-70.084043190220839</v>
      </c>
      <c r="AH782" s="304">
        <f t="shared" ca="1" si="376"/>
        <v>-61.043706880150069</v>
      </c>
    </row>
    <row r="783" spans="1:34" x14ac:dyDescent="0.2">
      <c r="A783" s="347">
        <f t="shared" ca="1" si="354"/>
        <v>0.01</v>
      </c>
      <c r="B783" s="304">
        <f t="shared" ca="1" si="355"/>
        <v>7.7899999999998784</v>
      </c>
      <c r="D783" s="306">
        <f t="shared" ca="1" si="356"/>
        <v>-23.614765989956446</v>
      </c>
      <c r="E783" s="307">
        <f t="shared" ca="1" si="357"/>
        <v>-65.842670295458575</v>
      </c>
      <c r="F783" s="304">
        <f t="shared" ca="1" si="358"/>
        <v>69.949370293068867</v>
      </c>
      <c r="G783" s="306">
        <f t="shared" ca="1" si="359"/>
        <v>153.38842422674063</v>
      </c>
      <c r="H783" s="307">
        <f t="shared" ca="1" si="360"/>
        <v>363.85905314275436</v>
      </c>
      <c r="I783" s="304">
        <f t="shared" ca="1" si="361"/>
        <v>394.86886334668662</v>
      </c>
      <c r="J783" s="306">
        <f t="shared" ca="1" si="362"/>
        <v>768.31155241190561</v>
      </c>
      <c r="K783" s="307">
        <f t="shared" ca="1" si="363"/>
        <v>1968.2658850519965</v>
      </c>
      <c r="L783" s="304">
        <f t="shared" ca="1" si="348"/>
        <v>2112.9063480971208</v>
      </c>
      <c r="M783" s="306">
        <f t="shared" ca="1" si="364"/>
        <v>1.1718429904745467</v>
      </c>
      <c r="N783" s="304">
        <f t="shared" ca="1" si="365"/>
        <v>67.141657606180658</v>
      </c>
      <c r="P783" s="310">
        <f t="shared" ca="1" si="366"/>
        <v>22</v>
      </c>
      <c r="Q783" s="304">
        <f t="shared" ca="1" si="367"/>
        <v>0</v>
      </c>
      <c r="R783" s="306">
        <f t="shared" ca="1" si="368"/>
        <v>0</v>
      </c>
      <c r="S783" s="307">
        <f t="shared" ca="1" si="369"/>
        <v>15.089040186296437</v>
      </c>
      <c r="T783" s="304">
        <f t="shared" ca="1" si="349"/>
        <v>148.02348422756805</v>
      </c>
      <c r="U783" s="311">
        <f t="shared" ca="1" si="350"/>
        <v>0</v>
      </c>
      <c r="V783" s="306">
        <f t="shared" ca="1" si="351"/>
        <v>1.0054901195383557</v>
      </c>
      <c r="W783" s="304">
        <f t="shared" ca="1" si="352"/>
        <v>913.92434174939535</v>
      </c>
      <c r="Y783" s="314" t="str">
        <f t="shared" ca="1" si="370"/>
        <v/>
      </c>
      <c r="Z783" s="315" t="str">
        <f t="shared" ca="1" si="371"/>
        <v/>
      </c>
      <c r="AA783" s="316" t="str">
        <f t="shared" ca="1" si="372"/>
        <v/>
      </c>
      <c r="AC783" s="310" t="e">
        <f t="shared" ca="1" si="373"/>
        <v>#N/A</v>
      </c>
      <c r="AD783" s="323" t="e">
        <f t="shared" ca="1" si="374"/>
        <v>#N/A</v>
      </c>
      <c r="AE783" s="324">
        <f t="shared" ca="1" si="353"/>
        <v>1968.2658850519965</v>
      </c>
      <c r="AG783" s="306">
        <f t="shared" ca="1" si="375"/>
        <v>-69.84553924793272</v>
      </c>
      <c r="AH783" s="304">
        <f t="shared" ca="1" si="376"/>
        <v>-60.805569754751652</v>
      </c>
    </row>
    <row r="784" spans="1:34" x14ac:dyDescent="0.2">
      <c r="A784" s="347">
        <f t="shared" ca="1" si="354"/>
        <v>0.01</v>
      </c>
      <c r="B784" s="304">
        <f t="shared" ca="1" si="355"/>
        <v>7.7999999999998781</v>
      </c>
      <c r="D784" s="306">
        <f t="shared" ca="1" si="356"/>
        <v>-23.528179551178919</v>
      </c>
      <c r="E784" s="307">
        <f t="shared" ca="1" si="357"/>
        <v>-65.62217211678103</v>
      </c>
      <c r="F784" s="304">
        <f t="shared" ca="1" si="358"/>
        <v>69.712586426820707</v>
      </c>
      <c r="G784" s="306">
        <f t="shared" ca="1" si="359"/>
        <v>153.15314243122884</v>
      </c>
      <c r="H784" s="307">
        <f t="shared" ca="1" si="360"/>
        <v>363.20283142158655</v>
      </c>
      <c r="I784" s="304">
        <f t="shared" ca="1" si="361"/>
        <v>394.1727816443161</v>
      </c>
      <c r="J784" s="306">
        <f t="shared" ca="1" si="362"/>
        <v>769.84426024519541</v>
      </c>
      <c r="K784" s="307">
        <f t="shared" ca="1" si="363"/>
        <v>1971.9011944748181</v>
      </c>
      <c r="L784" s="304">
        <f t="shared" ca="1" si="348"/>
        <v>2116.8501377763346</v>
      </c>
      <c r="M784" s="306">
        <f t="shared" ca="1" si="364"/>
        <v>1.1717463137178663</v>
      </c>
      <c r="N784" s="304">
        <f t="shared" ca="1" si="365"/>
        <v>67.136118436045862</v>
      </c>
      <c r="P784" s="310">
        <f t="shared" ca="1" si="366"/>
        <v>22</v>
      </c>
      <c r="Q784" s="304">
        <f t="shared" ca="1" si="367"/>
        <v>0</v>
      </c>
      <c r="R784" s="306">
        <f t="shared" ca="1" si="368"/>
        <v>0</v>
      </c>
      <c r="S784" s="307">
        <f t="shared" ca="1" si="369"/>
        <v>15.089040186296437</v>
      </c>
      <c r="T784" s="304">
        <f t="shared" ca="1" si="349"/>
        <v>148.02348422756805</v>
      </c>
      <c r="U784" s="311">
        <f t="shared" ca="1" si="350"/>
        <v>0</v>
      </c>
      <c r="V784" s="306">
        <f t="shared" ca="1" si="351"/>
        <v>1.0051210790225937</v>
      </c>
      <c r="W784" s="304">
        <f t="shared" ca="1" si="352"/>
        <v>910.37076636507379</v>
      </c>
      <c r="Y784" s="314" t="str">
        <f t="shared" ca="1" si="370"/>
        <v/>
      </c>
      <c r="Z784" s="315" t="str">
        <f t="shared" ca="1" si="371"/>
        <v/>
      </c>
      <c r="AA784" s="316" t="str">
        <f t="shared" ca="1" si="372"/>
        <v/>
      </c>
      <c r="AC784" s="310" t="e">
        <f t="shared" ca="1" si="373"/>
        <v>#N/A</v>
      </c>
      <c r="AD784" s="323" t="e">
        <f t="shared" ca="1" si="374"/>
        <v>#N/A</v>
      </c>
      <c r="AE784" s="324">
        <f t="shared" ca="1" si="353"/>
        <v>1971.9011944748181</v>
      </c>
      <c r="AG784" s="306">
        <f t="shared" ca="1" si="375"/>
        <v>-69.608354441787611</v>
      </c>
      <c r="AH784" s="304">
        <f t="shared" ca="1" si="376"/>
        <v>-60.568752582381158</v>
      </c>
    </row>
    <row r="785" spans="1:34" x14ac:dyDescent="0.2">
      <c r="A785" s="347">
        <f t="shared" ca="1" si="354"/>
        <v>0.01</v>
      </c>
      <c r="B785" s="304">
        <f t="shared" ca="1" si="355"/>
        <v>7.8099999999998779</v>
      </c>
      <c r="D785" s="306">
        <f t="shared" ca="1" si="356"/>
        <v>-23.442070523944704</v>
      </c>
      <c r="E785" s="307">
        <f t="shared" ca="1" si="357"/>
        <v>-65.402893841563966</v>
      </c>
      <c r="F785" s="304">
        <f t="shared" ca="1" si="358"/>
        <v>69.477112730024146</v>
      </c>
      <c r="G785" s="306">
        <f t="shared" ca="1" si="359"/>
        <v>152.9187217259894</v>
      </c>
      <c r="H785" s="307">
        <f t="shared" ca="1" si="360"/>
        <v>362.5488024831709</v>
      </c>
      <c r="I785" s="304">
        <f t="shared" ca="1" si="361"/>
        <v>393.47905870108491</v>
      </c>
      <c r="J785" s="306">
        <f t="shared" ca="1" si="362"/>
        <v>771.37461956598156</v>
      </c>
      <c r="K785" s="307">
        <f t="shared" ca="1" si="363"/>
        <v>1975.5299526443418</v>
      </c>
      <c r="L785" s="304">
        <f t="shared" ca="1" si="348"/>
        <v>2120.7869759845089</v>
      </c>
      <c r="M785" s="306">
        <f t="shared" ca="1" si="364"/>
        <v>1.1716494443056975</v>
      </c>
      <c r="N785" s="304">
        <f t="shared" ca="1" si="365"/>
        <v>67.130568227564666</v>
      </c>
      <c r="P785" s="310">
        <f t="shared" ca="1" si="366"/>
        <v>22</v>
      </c>
      <c r="Q785" s="304">
        <f t="shared" ca="1" si="367"/>
        <v>0</v>
      </c>
      <c r="R785" s="306">
        <f t="shared" ca="1" si="368"/>
        <v>0</v>
      </c>
      <c r="S785" s="307">
        <f t="shared" ca="1" si="369"/>
        <v>15.089040186296437</v>
      </c>
      <c r="T785" s="304">
        <f t="shared" ca="1" si="349"/>
        <v>148.02348422756805</v>
      </c>
      <c r="U785" s="311">
        <f t="shared" ca="1" si="350"/>
        <v>0</v>
      </c>
      <c r="V785" s="306">
        <f t="shared" ca="1" si="351"/>
        <v>1.0047528253285092</v>
      </c>
      <c r="W785" s="304">
        <f t="shared" ca="1" si="352"/>
        <v>906.83681243928777</v>
      </c>
      <c r="Y785" s="314" t="str">
        <f t="shared" ca="1" si="370"/>
        <v/>
      </c>
      <c r="Z785" s="315" t="str">
        <f t="shared" ca="1" si="371"/>
        <v/>
      </c>
      <c r="AA785" s="316" t="str">
        <f t="shared" ca="1" si="372"/>
        <v/>
      </c>
      <c r="AC785" s="310" t="e">
        <f t="shared" ca="1" si="373"/>
        <v>#N/A</v>
      </c>
      <c r="AD785" s="323" t="e">
        <f t="shared" ca="1" si="374"/>
        <v>#N/A</v>
      </c>
      <c r="AE785" s="324">
        <f t="shared" ca="1" si="353"/>
        <v>1975.5299526443418</v>
      </c>
      <c r="AG785" s="306">
        <f t="shared" ca="1" si="375"/>
        <v>-69.372478937251344</v>
      </c>
      <c r="AH785" s="304">
        <f t="shared" ca="1" si="376"/>
        <v>-60.333245529550268</v>
      </c>
    </row>
    <row r="786" spans="1:34" x14ac:dyDescent="0.2">
      <c r="A786" s="347">
        <f t="shared" ca="1" si="354"/>
        <v>0.01</v>
      </c>
      <c r="B786" s="304">
        <f t="shared" ca="1" si="355"/>
        <v>7.8199999999998777</v>
      </c>
      <c r="D786" s="306">
        <f t="shared" ca="1" si="356"/>
        <v>-23.35643535640499</v>
      </c>
      <c r="E786" s="307">
        <f t="shared" ca="1" si="357"/>
        <v>-65.184826399042947</v>
      </c>
      <c r="F786" s="304">
        <f t="shared" ca="1" si="358"/>
        <v>69.242939461228033</v>
      </c>
      <c r="G786" s="306">
        <f t="shared" ca="1" si="359"/>
        <v>152.68515737242535</v>
      </c>
      <c r="H786" s="307">
        <f t="shared" ca="1" si="360"/>
        <v>361.89695421918049</v>
      </c>
      <c r="I786" s="304">
        <f t="shared" ca="1" si="361"/>
        <v>392.78768152140657</v>
      </c>
      <c r="J786" s="306">
        <f t="shared" ca="1" si="362"/>
        <v>772.9026389614736</v>
      </c>
      <c r="K786" s="307">
        <f t="shared" ca="1" si="363"/>
        <v>1979.1521814278535</v>
      </c>
      <c r="L786" s="304">
        <f t="shared" ca="1" si="348"/>
        <v>2124.7168862143121</v>
      </c>
      <c r="M786" s="306">
        <f t="shared" ca="1" si="364"/>
        <v>1.1715523820937588</v>
      </c>
      <c r="N786" s="304">
        <f t="shared" ca="1" si="365"/>
        <v>67.125006972470374</v>
      </c>
      <c r="P786" s="310">
        <f t="shared" ca="1" si="366"/>
        <v>22</v>
      </c>
      <c r="Q786" s="304">
        <f t="shared" ca="1" si="367"/>
        <v>0</v>
      </c>
      <c r="R786" s="306">
        <f t="shared" ca="1" si="368"/>
        <v>0</v>
      </c>
      <c r="S786" s="307">
        <f t="shared" ca="1" si="369"/>
        <v>15.089040186296437</v>
      </c>
      <c r="T786" s="304">
        <f t="shared" ca="1" si="349"/>
        <v>148.02348422756805</v>
      </c>
      <c r="U786" s="311">
        <f t="shared" ca="1" si="350"/>
        <v>0</v>
      </c>
      <c r="V786" s="306">
        <f t="shared" ca="1" si="351"/>
        <v>1.0043853555190574</v>
      </c>
      <c r="W786" s="304">
        <f t="shared" ca="1" si="352"/>
        <v>903.32233435857142</v>
      </c>
      <c r="Y786" s="314" t="str">
        <f t="shared" ca="1" si="370"/>
        <v/>
      </c>
      <c r="Z786" s="315" t="str">
        <f t="shared" ca="1" si="371"/>
        <v/>
      </c>
      <c r="AA786" s="316" t="str">
        <f t="shared" ca="1" si="372"/>
        <v/>
      </c>
      <c r="AC786" s="310" t="e">
        <f t="shared" ca="1" si="373"/>
        <v>#N/A</v>
      </c>
      <c r="AD786" s="323" t="e">
        <f t="shared" ca="1" si="374"/>
        <v>#N/A</v>
      </c>
      <c r="AE786" s="324">
        <f t="shared" ca="1" si="353"/>
        <v>1979.1521814278535</v>
      </c>
      <c r="AG786" s="306">
        <f t="shared" ca="1" si="375"/>
        <v>-69.137902991909712</v>
      </c>
      <c r="AH786" s="304">
        <f t="shared" ca="1" si="376"/>
        <v>-60.099038854894083</v>
      </c>
    </row>
    <row r="787" spans="1:34" x14ac:dyDescent="0.2">
      <c r="A787" s="347">
        <f t="shared" ca="1" si="354"/>
        <v>0.01</v>
      </c>
      <c r="B787" s="304">
        <f t="shared" ca="1" si="355"/>
        <v>7.8299999999998775</v>
      </c>
      <c r="D787" s="306">
        <f t="shared" ca="1" si="356"/>
        <v>-23.271270529921129</v>
      </c>
      <c r="E787" s="307">
        <f t="shared" ca="1" si="357"/>
        <v>-64.9679608032679</v>
      </c>
      <c r="F787" s="304">
        <f t="shared" ca="1" si="358"/>
        <v>69.010056970065818</v>
      </c>
      <c r="G787" s="306">
        <f t="shared" ca="1" si="359"/>
        <v>152.45244466712614</v>
      </c>
      <c r="H787" s="307">
        <f t="shared" ca="1" si="360"/>
        <v>361.24727461114782</v>
      </c>
      <c r="I787" s="304">
        <f t="shared" ca="1" si="361"/>
        <v>392.09863720620763</v>
      </c>
      <c r="J787" s="306">
        <f t="shared" ca="1" si="362"/>
        <v>774.42832697167137</v>
      </c>
      <c r="K787" s="307">
        <f t="shared" ca="1" si="363"/>
        <v>1982.7679025720051</v>
      </c>
      <c r="L787" s="304">
        <f t="shared" ca="1" si="348"/>
        <v>2128.6398918290361</v>
      </c>
      <c r="M787" s="306">
        <f t="shared" ca="1" si="364"/>
        <v>1.1714551269372384</v>
      </c>
      <c r="N787" s="304">
        <f t="shared" ca="1" si="365"/>
        <v>67.119434662465878</v>
      </c>
      <c r="P787" s="310">
        <f t="shared" ca="1" si="366"/>
        <v>22</v>
      </c>
      <c r="Q787" s="304">
        <f t="shared" ca="1" si="367"/>
        <v>0</v>
      </c>
      <c r="R787" s="306">
        <f t="shared" ca="1" si="368"/>
        <v>0</v>
      </c>
      <c r="S787" s="307">
        <f t="shared" ca="1" si="369"/>
        <v>15.089040186296437</v>
      </c>
      <c r="T787" s="304">
        <f t="shared" ca="1" si="349"/>
        <v>148.02348422756805</v>
      </c>
      <c r="U787" s="311">
        <f t="shared" ca="1" si="350"/>
        <v>0</v>
      </c>
      <c r="V787" s="306">
        <f t="shared" ca="1" si="351"/>
        <v>1.0040186666742248</v>
      </c>
      <c r="W787" s="304">
        <f t="shared" ca="1" si="352"/>
        <v>899.82718786837131</v>
      </c>
      <c r="Y787" s="314" t="str">
        <f t="shared" ca="1" si="370"/>
        <v/>
      </c>
      <c r="Z787" s="315" t="str">
        <f t="shared" ca="1" si="371"/>
        <v/>
      </c>
      <c r="AA787" s="316" t="str">
        <f t="shared" ca="1" si="372"/>
        <v/>
      </c>
      <c r="AC787" s="310" t="e">
        <f t="shared" ca="1" si="373"/>
        <v>#N/A</v>
      </c>
      <c r="AD787" s="323" t="e">
        <f t="shared" ca="1" si="374"/>
        <v>#N/A</v>
      </c>
      <c r="AE787" s="324">
        <f t="shared" ca="1" si="353"/>
        <v>1982.7679025720051</v>
      </c>
      <c r="AG787" s="306">
        <f t="shared" ca="1" si="375"/>
        <v>-68.904616954429713</v>
      </c>
      <c r="AH787" s="304">
        <f t="shared" ca="1" si="376"/>
        <v>-59.866122908132397</v>
      </c>
    </row>
    <row r="788" spans="1:34" x14ac:dyDescent="0.2">
      <c r="A788" s="347">
        <f t="shared" ca="1" si="354"/>
        <v>0.01</v>
      </c>
      <c r="B788" s="304">
        <f t="shared" ca="1" si="355"/>
        <v>7.8399999999998773</v>
      </c>
      <c r="D788" s="306">
        <f t="shared" ca="1" si="356"/>
        <v>-23.186572558690919</v>
      </c>
      <c r="E788" s="307">
        <f t="shared" ca="1" si="357"/>
        <v>-64.752288152148509</v>
      </c>
      <c r="F788" s="304">
        <f t="shared" ca="1" si="358"/>
        <v>68.778455696230267</v>
      </c>
      <c r="G788" s="306">
        <f t="shared" ca="1" si="359"/>
        <v>152.22057894153923</v>
      </c>
      <c r="H788" s="307">
        <f t="shared" ca="1" si="360"/>
        <v>360.59975172962635</v>
      </c>
      <c r="I788" s="304">
        <f t="shared" ca="1" si="361"/>
        <v>391.41191295202748</v>
      </c>
      <c r="J788" s="306">
        <f t="shared" ca="1" si="362"/>
        <v>775.9516920897147</v>
      </c>
      <c r="K788" s="307">
        <f t="shared" ca="1" si="363"/>
        <v>1986.377137703709</v>
      </c>
      <c r="L788" s="304">
        <f t="shared" ca="1" si="348"/>
        <v>2132.5560160635573</v>
      </c>
      <c r="M788" s="306">
        <f t="shared" ca="1" si="364"/>
        <v>1.1713576786907949</v>
      </c>
      <c r="N788" s="304">
        <f t="shared" ca="1" si="365"/>
        <v>67.113851289223717</v>
      </c>
      <c r="P788" s="310">
        <f t="shared" ca="1" si="366"/>
        <v>22</v>
      </c>
      <c r="Q788" s="304">
        <f t="shared" ca="1" si="367"/>
        <v>0</v>
      </c>
      <c r="R788" s="306">
        <f t="shared" ca="1" si="368"/>
        <v>0</v>
      </c>
      <c r="S788" s="307">
        <f t="shared" ca="1" si="369"/>
        <v>15.089040186296437</v>
      </c>
      <c r="T788" s="304">
        <f t="shared" ca="1" si="349"/>
        <v>148.02348422756805</v>
      </c>
      <c r="U788" s="311">
        <f t="shared" ca="1" si="350"/>
        <v>0</v>
      </c>
      <c r="V788" s="306">
        <f t="shared" ca="1" si="351"/>
        <v>1.0036527558908979</v>
      </c>
      <c r="W788" s="304">
        <f t="shared" ca="1" si="352"/>
        <v>896.35123005778655</v>
      </c>
      <c r="Y788" s="314" t="str">
        <f t="shared" ca="1" si="370"/>
        <v/>
      </c>
      <c r="Z788" s="315" t="str">
        <f t="shared" ca="1" si="371"/>
        <v/>
      </c>
      <c r="AA788" s="316" t="str">
        <f t="shared" ca="1" si="372"/>
        <v/>
      </c>
      <c r="AC788" s="310" t="e">
        <f t="shared" ca="1" si="373"/>
        <v>#N/A</v>
      </c>
      <c r="AD788" s="323" t="e">
        <f t="shared" ca="1" si="374"/>
        <v>#N/A</v>
      </c>
      <c r="AE788" s="324">
        <f t="shared" ca="1" si="353"/>
        <v>1986.377137703709</v>
      </c>
      <c r="AG788" s="306">
        <f t="shared" ca="1" si="375"/>
        <v>-68.672611263534407</v>
      </c>
      <c r="AH788" s="304">
        <f t="shared" ca="1" si="376"/>
        <v>-59.63448812904457</v>
      </c>
    </row>
    <row r="789" spans="1:34" x14ac:dyDescent="0.2">
      <c r="A789" s="347">
        <f t="shared" ca="1" si="354"/>
        <v>0.01</v>
      </c>
      <c r="B789" s="304">
        <f t="shared" ca="1" si="355"/>
        <v>7.8499999999998771</v>
      </c>
      <c r="D789" s="306">
        <f t="shared" ca="1" si="356"/>
        <v>-23.102337989379841</v>
      </c>
      <c r="E789" s="307">
        <f t="shared" ca="1" si="357"/>
        <v>-64.537799626512481</v>
      </c>
      <c r="F789" s="304">
        <f t="shared" ca="1" si="358"/>
        <v>68.548126168462232</v>
      </c>
      <c r="G789" s="306">
        <f t="shared" ca="1" si="359"/>
        <v>151.98955556164543</v>
      </c>
      <c r="H789" s="307">
        <f t="shared" ca="1" si="360"/>
        <v>359.95437373336125</v>
      </c>
      <c r="I789" s="304">
        <f t="shared" ca="1" si="361"/>
        <v>390.72749605012802</v>
      </c>
      <c r="J789" s="306">
        <f t="shared" ca="1" si="362"/>
        <v>777.47274276223061</v>
      </c>
      <c r="K789" s="307">
        <f t="shared" ca="1" si="363"/>
        <v>1989.9799083310238</v>
      </c>
      <c r="L789" s="304">
        <f t="shared" ca="1" si="348"/>
        <v>2136.4652820252841</v>
      </c>
      <c r="M789" s="306">
        <f t="shared" ca="1" si="364"/>
        <v>1.1712600372085558</v>
      </c>
      <c r="N789" s="304">
        <f t="shared" ca="1" si="365"/>
        <v>67.108256844386005</v>
      </c>
      <c r="P789" s="310">
        <f t="shared" ca="1" si="366"/>
        <v>22</v>
      </c>
      <c r="Q789" s="304">
        <f t="shared" ca="1" si="367"/>
        <v>0</v>
      </c>
      <c r="R789" s="306">
        <f t="shared" ca="1" si="368"/>
        <v>0</v>
      </c>
      <c r="S789" s="307">
        <f t="shared" ca="1" si="369"/>
        <v>15.089040186296437</v>
      </c>
      <c r="T789" s="304">
        <f t="shared" ca="1" si="349"/>
        <v>148.02348422756805</v>
      </c>
      <c r="U789" s="311">
        <f t="shared" ca="1" si="350"/>
        <v>0</v>
      </c>
      <c r="V789" s="306">
        <f t="shared" ca="1" si="351"/>
        <v>1.0032876202827308</v>
      </c>
      <c r="W789" s="304">
        <f t="shared" ca="1" si="352"/>
        <v>892.89431934450306</v>
      </c>
      <c r="Y789" s="314" t="str">
        <f t="shared" ca="1" si="370"/>
        <v/>
      </c>
      <c r="Z789" s="315" t="str">
        <f t="shared" ca="1" si="371"/>
        <v/>
      </c>
      <c r="AA789" s="316" t="str">
        <f t="shared" ca="1" si="372"/>
        <v/>
      </c>
      <c r="AC789" s="310" t="e">
        <f t="shared" ca="1" si="373"/>
        <v>#N/A</v>
      </c>
      <c r="AD789" s="323" t="e">
        <f t="shared" ca="1" si="374"/>
        <v>#N/A</v>
      </c>
      <c r="AE789" s="324">
        <f t="shared" ca="1" si="353"/>
        <v>1989.9799083310238</v>
      </c>
      <c r="AG789" s="306">
        <f t="shared" ca="1" si="375"/>
        <v>-68.441876446991586</v>
      </c>
      <c r="AH789" s="304">
        <f t="shared" ca="1" si="376"/>
        <v>-59.404125046458205</v>
      </c>
    </row>
    <row r="790" spans="1:34" x14ac:dyDescent="0.2">
      <c r="A790" s="347">
        <f t="shared" ca="1" si="354"/>
        <v>0.01</v>
      </c>
      <c r="B790" s="304">
        <f t="shared" ca="1" si="355"/>
        <v>7.8599999999998769</v>
      </c>
      <c r="D790" s="306">
        <f t="shared" ca="1" si="356"/>
        <v>-23.018563400757021</v>
      </c>
      <c r="E790" s="307">
        <f t="shared" ca="1" si="357"/>
        <v>-64.324486489175882</v>
      </c>
      <c r="F790" s="304">
        <f t="shared" ca="1" si="358"/>
        <v>68.319059003552155</v>
      </c>
      <c r="G790" s="306">
        <f t="shared" ca="1" si="359"/>
        <v>151.75936992763786</v>
      </c>
      <c r="H790" s="307">
        <f t="shared" ca="1" si="360"/>
        <v>359.3111288684695</v>
      </c>
      <c r="I790" s="304">
        <f t="shared" ca="1" si="361"/>
        <v>390.04537388561289</v>
      </c>
      <c r="J790" s="306">
        <f t="shared" ca="1" si="362"/>
        <v>778.99148738967699</v>
      </c>
      <c r="K790" s="307">
        <f t="shared" ca="1" si="363"/>
        <v>1993.5762358440329</v>
      </c>
      <c r="L790" s="304">
        <f t="shared" ca="1" si="348"/>
        <v>2140.3677126950975</v>
      </c>
      <c r="M790" s="306">
        <f t="shared" ca="1" si="364"/>
        <v>1.1711622023441177</v>
      </c>
      <c r="N790" s="304">
        <f t="shared" ca="1" si="365"/>
        <v>67.102651319564472</v>
      </c>
      <c r="P790" s="310">
        <f t="shared" ca="1" si="366"/>
        <v>22</v>
      </c>
      <c r="Q790" s="304">
        <f t="shared" ca="1" si="367"/>
        <v>0</v>
      </c>
      <c r="R790" s="306">
        <f t="shared" ca="1" si="368"/>
        <v>0</v>
      </c>
      <c r="S790" s="307">
        <f t="shared" ca="1" si="369"/>
        <v>15.089040186296437</v>
      </c>
      <c r="T790" s="304">
        <f t="shared" ca="1" si="349"/>
        <v>148.02348422756805</v>
      </c>
      <c r="U790" s="311">
        <f t="shared" ca="1" si="350"/>
        <v>0</v>
      </c>
      <c r="V790" s="306">
        <f t="shared" ca="1" si="351"/>
        <v>1.0029232569800197</v>
      </c>
      <c r="W790" s="304">
        <f t="shared" ca="1" si="352"/>
        <v>889.45631545992978</v>
      </c>
      <c r="Y790" s="314" t="str">
        <f t="shared" ca="1" si="370"/>
        <v/>
      </c>
      <c r="Z790" s="315" t="str">
        <f t="shared" ca="1" si="371"/>
        <v/>
      </c>
      <c r="AA790" s="316" t="str">
        <f t="shared" ca="1" si="372"/>
        <v/>
      </c>
      <c r="AC790" s="310" t="e">
        <f t="shared" ca="1" si="373"/>
        <v>#N/A</v>
      </c>
      <c r="AD790" s="323" t="e">
        <f t="shared" ca="1" si="374"/>
        <v>#N/A</v>
      </c>
      <c r="AE790" s="324">
        <f t="shared" ca="1" si="353"/>
        <v>1993.5762358440329</v>
      </c>
      <c r="AG790" s="306">
        <f t="shared" ca="1" si="375"/>
        <v>-68.212403120615363</v>
      </c>
      <c r="AH790" s="304">
        <f t="shared" ca="1" si="376"/>
        <v>-59.175024277250699</v>
      </c>
    </row>
    <row r="791" spans="1:34" x14ac:dyDescent="0.2">
      <c r="A791" s="347">
        <f t="shared" ca="1" si="354"/>
        <v>0.01</v>
      </c>
      <c r="B791" s="304">
        <f t="shared" ca="1" si="355"/>
        <v>7.8699999999998766</v>
      </c>
      <c r="D791" s="306">
        <f t="shared" ca="1" si="356"/>
        <v>-22.935245403336094</v>
      </c>
      <c r="E791" s="307">
        <f t="shared" ca="1" si="357"/>
        <v>-64.112340084025789</v>
      </c>
      <c r="F791" s="304">
        <f t="shared" ca="1" si="358"/>
        <v>68.091244905354969</v>
      </c>
      <c r="G791" s="306">
        <f t="shared" ca="1" si="359"/>
        <v>151.53001747360449</v>
      </c>
      <c r="H791" s="307">
        <f t="shared" ca="1" si="360"/>
        <v>358.67000546762921</v>
      </c>
      <c r="I791" s="304">
        <f t="shared" ca="1" si="361"/>
        <v>389.36553393655691</v>
      </c>
      <c r="J791" s="306">
        <f t="shared" ca="1" si="362"/>
        <v>780.5079343266832</v>
      </c>
      <c r="K791" s="307">
        <f t="shared" ca="1" si="363"/>
        <v>1997.1661415157134</v>
      </c>
      <c r="L791" s="304">
        <f t="shared" ca="1" si="348"/>
        <v>2144.2633309282865</v>
      </c>
      <c r="M791" s="306">
        <f t="shared" ca="1" si="364"/>
        <v>1.1710641739505467</v>
      </c>
      <c r="N791" s="304">
        <f t="shared" ca="1" si="365"/>
        <v>67.097034706340409</v>
      </c>
      <c r="P791" s="310">
        <f t="shared" ca="1" si="366"/>
        <v>22</v>
      </c>
      <c r="Q791" s="304">
        <f t="shared" ca="1" si="367"/>
        <v>0</v>
      </c>
      <c r="R791" s="306">
        <f t="shared" ca="1" si="368"/>
        <v>0</v>
      </c>
      <c r="S791" s="307">
        <f t="shared" ca="1" si="369"/>
        <v>15.089040186296437</v>
      </c>
      <c r="T791" s="304">
        <f t="shared" ca="1" si="349"/>
        <v>148.02348422756805</v>
      </c>
      <c r="U791" s="311">
        <f t="shared" ca="1" si="350"/>
        <v>0</v>
      </c>
      <c r="V791" s="306">
        <f t="shared" ca="1" si="351"/>
        <v>1.0025596631295735</v>
      </c>
      <c r="W791" s="304">
        <f t="shared" ca="1" si="352"/>
        <v>886.03707943452605</v>
      </c>
      <c r="Y791" s="314" t="str">
        <f t="shared" ca="1" si="370"/>
        <v/>
      </c>
      <c r="Z791" s="315" t="str">
        <f t="shared" ca="1" si="371"/>
        <v/>
      </c>
      <c r="AA791" s="316" t="str">
        <f t="shared" ca="1" si="372"/>
        <v/>
      </c>
      <c r="AC791" s="310" t="e">
        <f t="shared" ca="1" si="373"/>
        <v>#N/A</v>
      </c>
      <c r="AD791" s="323" t="e">
        <f t="shared" ca="1" si="374"/>
        <v>#N/A</v>
      </c>
      <c r="AE791" s="324">
        <f t="shared" ca="1" si="353"/>
        <v>1997.1661415157134</v>
      </c>
      <c r="AG791" s="306">
        <f t="shared" ca="1" si="375"/>
        <v>-67.984181987281019</v>
      </c>
      <c r="AH791" s="304">
        <f t="shared" ca="1" si="376"/>
        <v>-58.947176525364164</v>
      </c>
    </row>
    <row r="792" spans="1:34" x14ac:dyDescent="0.2">
      <c r="A792" s="347">
        <f t="shared" ca="1" si="354"/>
        <v>0.01</v>
      </c>
      <c r="B792" s="304">
        <f t="shared" ca="1" si="355"/>
        <v>7.8799999999998764</v>
      </c>
      <c r="D792" s="306">
        <f t="shared" ca="1" si="356"/>
        <v>-22.852380639020588</v>
      </c>
      <c r="E792" s="307">
        <f t="shared" ca="1" si="357"/>
        <v>-63.901351835114966</v>
      </c>
      <c r="F792" s="304">
        <f t="shared" ca="1" si="358"/>
        <v>67.864674663817794</v>
      </c>
      <c r="G792" s="306">
        <f t="shared" ca="1" si="359"/>
        <v>151.30149366721429</v>
      </c>
      <c r="H792" s="307">
        <f t="shared" ca="1" si="360"/>
        <v>358.03099194927808</v>
      </c>
      <c r="I792" s="304">
        <f t="shared" ca="1" si="361"/>
        <v>388.68796377314555</v>
      </c>
      <c r="J792" s="306">
        <f t="shared" ca="1" si="362"/>
        <v>782.02209188238726</v>
      </c>
      <c r="K792" s="307">
        <f t="shared" ca="1" si="363"/>
        <v>2000.749646502798</v>
      </c>
      <c r="L792" s="304">
        <f t="shared" ca="1" si="348"/>
        <v>2148.1521594554647</v>
      </c>
      <c r="M792" s="306">
        <f t="shared" ca="1" si="364"/>
        <v>1.170965951880377</v>
      </c>
      <c r="N792" s="304">
        <f t="shared" ca="1" si="365"/>
        <v>67.091406996264652</v>
      </c>
      <c r="P792" s="310">
        <f t="shared" ca="1" si="366"/>
        <v>22</v>
      </c>
      <c r="Q792" s="304">
        <f t="shared" ca="1" si="367"/>
        <v>0</v>
      </c>
      <c r="R792" s="306">
        <f t="shared" ca="1" si="368"/>
        <v>0</v>
      </c>
      <c r="S792" s="307">
        <f t="shared" ca="1" si="369"/>
        <v>15.089040186296437</v>
      </c>
      <c r="T792" s="304">
        <f t="shared" ca="1" si="349"/>
        <v>148.02348422756805</v>
      </c>
      <c r="U792" s="311">
        <f t="shared" ca="1" si="350"/>
        <v>0</v>
      </c>
      <c r="V792" s="306">
        <f t="shared" ca="1" si="351"/>
        <v>1.0021968358945876</v>
      </c>
      <c r="W792" s="304">
        <f t="shared" ca="1" si="352"/>
        <v>882.63647358332355</v>
      </c>
      <c r="Y792" s="314" t="str">
        <f t="shared" ca="1" si="370"/>
        <v/>
      </c>
      <c r="Z792" s="315" t="str">
        <f t="shared" ca="1" si="371"/>
        <v/>
      </c>
      <c r="AA792" s="316" t="str">
        <f t="shared" ca="1" si="372"/>
        <v/>
      </c>
      <c r="AC792" s="310" t="e">
        <f t="shared" ca="1" si="373"/>
        <v>#N/A</v>
      </c>
      <c r="AD792" s="323" t="e">
        <f t="shared" ca="1" si="374"/>
        <v>#N/A</v>
      </c>
      <c r="AE792" s="324">
        <f t="shared" ca="1" si="353"/>
        <v>2000.749646502798</v>
      </c>
      <c r="AG792" s="306">
        <f t="shared" ca="1" si="375"/>
        <v>-67.757203835952666</v>
      </c>
      <c r="AH792" s="304">
        <f t="shared" ca="1" si="376"/>
        <v>-58.720572580833014</v>
      </c>
    </row>
    <row r="793" spans="1:34" x14ac:dyDescent="0.2">
      <c r="A793" s="347">
        <f t="shared" ca="1" si="354"/>
        <v>0.01</v>
      </c>
      <c r="B793" s="304">
        <f t="shared" ca="1" si="355"/>
        <v>7.8899999999998762</v>
      </c>
      <c r="D793" s="306">
        <f t="shared" ca="1" si="356"/>
        <v>-22.769965780754159</v>
      </c>
      <c r="E793" s="307">
        <f t="shared" ca="1" si="357"/>
        <v>-63.69151324576827</v>
      </c>
      <c r="F793" s="304">
        <f t="shared" ca="1" si="358"/>
        <v>67.639339154020348</v>
      </c>
      <c r="G793" s="306">
        <f t="shared" ca="1" si="359"/>
        <v>151.07379400940675</v>
      </c>
      <c r="H793" s="307">
        <f t="shared" ca="1" si="360"/>
        <v>357.39407681682042</v>
      </c>
      <c r="I793" s="304">
        <f t="shared" ca="1" si="361"/>
        <v>388.01265105682313</v>
      </c>
      <c r="J793" s="306">
        <f t="shared" ca="1" si="362"/>
        <v>783.53396832077033</v>
      </c>
      <c r="K793" s="307">
        <f t="shared" ca="1" si="363"/>
        <v>2004.3267718466284</v>
      </c>
      <c r="L793" s="304">
        <f t="shared" ca="1" si="348"/>
        <v>2152.0342208834923</v>
      </c>
      <c r="M793" s="306">
        <f t="shared" ca="1" si="364"/>
        <v>1.1708675359856111</v>
      </c>
      <c r="N793" s="304">
        <f t="shared" ca="1" si="365"/>
        <v>67.085768180857556</v>
      </c>
      <c r="P793" s="310">
        <f t="shared" ca="1" si="366"/>
        <v>22</v>
      </c>
      <c r="Q793" s="304">
        <f t="shared" ca="1" si="367"/>
        <v>0</v>
      </c>
      <c r="R793" s="306">
        <f t="shared" ca="1" si="368"/>
        <v>0</v>
      </c>
      <c r="S793" s="307">
        <f t="shared" ca="1" si="369"/>
        <v>15.089040186296437</v>
      </c>
      <c r="T793" s="304">
        <f t="shared" ca="1" si="349"/>
        <v>148.02348422756805</v>
      </c>
      <c r="U793" s="311">
        <f t="shared" ca="1" si="350"/>
        <v>0</v>
      </c>
      <c r="V793" s="306">
        <f t="shared" ca="1" si="351"/>
        <v>1.0018347724545207</v>
      </c>
      <c r="W793" s="304">
        <f t="shared" ca="1" si="352"/>
        <v>879.25436149163386</v>
      </c>
      <c r="Y793" s="314" t="str">
        <f t="shared" ca="1" si="370"/>
        <v/>
      </c>
      <c r="Z793" s="315" t="str">
        <f t="shared" ca="1" si="371"/>
        <v/>
      </c>
      <c r="AA793" s="316" t="str">
        <f t="shared" ca="1" si="372"/>
        <v/>
      </c>
      <c r="AC793" s="310" t="e">
        <f t="shared" ca="1" si="373"/>
        <v>#N/A</v>
      </c>
      <c r="AD793" s="323" t="e">
        <f t="shared" ca="1" si="374"/>
        <v>#N/A</v>
      </c>
      <c r="AE793" s="324">
        <f t="shared" ca="1" si="353"/>
        <v>2004.3267718466284</v>
      </c>
      <c r="AG793" s="306">
        <f t="shared" ca="1" si="375"/>
        <v>-67.531459540723702</v>
      </c>
      <c r="AH793" s="304">
        <f t="shared" ca="1" si="376"/>
        <v>-58.495203318824501</v>
      </c>
    </row>
    <row r="794" spans="1:34" x14ac:dyDescent="0.2">
      <c r="A794" s="347">
        <f t="shared" ca="1" si="354"/>
        <v>0.01</v>
      </c>
      <c r="B794" s="304">
        <f t="shared" ca="1" si="355"/>
        <v>7.899999999999876</v>
      </c>
      <c r="D794" s="306">
        <f t="shared" ca="1" si="356"/>
        <v>-22.687997532175185</v>
      </c>
      <c r="E794" s="307">
        <f t="shared" ca="1" si="357"/>
        <v>-63.482815897700711</v>
      </c>
      <c r="F794" s="304">
        <f t="shared" ca="1" si="358"/>
        <v>67.415229335227735</v>
      </c>
      <c r="G794" s="306">
        <f t="shared" ca="1" si="359"/>
        <v>150.84691403408499</v>
      </c>
      <c r="H794" s="307">
        <f t="shared" ca="1" si="360"/>
        <v>356.75924865784339</v>
      </c>
      <c r="I794" s="304">
        <f t="shared" ca="1" si="361"/>
        <v>387.33958353945127</v>
      </c>
      <c r="J794" s="306">
        <f t="shared" ca="1" si="362"/>
        <v>785.04357186098775</v>
      </c>
      <c r="K794" s="307">
        <f t="shared" ca="1" si="363"/>
        <v>2007.8975384740017</v>
      </c>
      <c r="L794" s="304">
        <f t="shared" ca="1" si="348"/>
        <v>2155.9095376963787</v>
      </c>
      <c r="M794" s="306">
        <f t="shared" ca="1" si="364"/>
        <v>1.1707689261177197</v>
      </c>
      <c r="N794" s="304">
        <f t="shared" ca="1" si="365"/>
        <v>67.080118251609036</v>
      </c>
      <c r="P794" s="310">
        <f t="shared" ca="1" si="366"/>
        <v>22</v>
      </c>
      <c r="Q794" s="304">
        <f t="shared" ca="1" si="367"/>
        <v>0</v>
      </c>
      <c r="R794" s="306">
        <f t="shared" ca="1" si="368"/>
        <v>0</v>
      </c>
      <c r="S794" s="307">
        <f t="shared" ca="1" si="369"/>
        <v>15.089040186296437</v>
      </c>
      <c r="T794" s="304">
        <f t="shared" ca="1" si="349"/>
        <v>148.02348422756805</v>
      </c>
      <c r="U794" s="311">
        <f t="shared" ca="1" si="350"/>
        <v>0</v>
      </c>
      <c r="V794" s="306">
        <f t="shared" ca="1" si="351"/>
        <v>1.0014734700049679</v>
      </c>
      <c r="W794" s="304">
        <f t="shared" ca="1" si="352"/>
        <v>875.89060800094296</v>
      </c>
      <c r="Y794" s="314" t="str">
        <f t="shared" ca="1" si="370"/>
        <v/>
      </c>
      <c r="Z794" s="315" t="str">
        <f t="shared" ca="1" si="371"/>
        <v/>
      </c>
      <c r="AA794" s="316" t="str">
        <f t="shared" ca="1" si="372"/>
        <v/>
      </c>
      <c r="AC794" s="310" t="e">
        <f t="shared" ca="1" si="373"/>
        <v>#N/A</v>
      </c>
      <c r="AD794" s="323" t="e">
        <f t="shared" ca="1" si="374"/>
        <v>#N/A</v>
      </c>
      <c r="AE794" s="324">
        <f t="shared" ca="1" si="353"/>
        <v>2007.8975384740017</v>
      </c>
      <c r="AG794" s="306">
        <f t="shared" ca="1" si="375"/>
        <v>-67.306940059869561</v>
      </c>
      <c r="AH794" s="304">
        <f t="shared" ca="1" si="376"/>
        <v>-58.271059698691438</v>
      </c>
    </row>
    <row r="795" spans="1:34" x14ac:dyDescent="0.2">
      <c r="A795" s="347">
        <f t="shared" ca="1" si="354"/>
        <v>0.01</v>
      </c>
      <c r="B795" s="304">
        <f t="shared" ca="1" si="355"/>
        <v>7.9099999999998758</v>
      </c>
      <c r="D795" s="306">
        <f t="shared" ca="1" si="356"/>
        <v>-22.606472627275934</v>
      </c>
      <c r="E795" s="307">
        <f t="shared" ca="1" si="357"/>
        <v>-63.275251450147003</v>
      </c>
      <c r="F795" s="304">
        <f t="shared" ca="1" si="358"/>
        <v>67.192336249955673</v>
      </c>
      <c r="G795" s="306">
        <f t="shared" ca="1" si="359"/>
        <v>150.62084930781222</v>
      </c>
      <c r="H795" s="307">
        <f t="shared" ca="1" si="360"/>
        <v>356.12649614334191</v>
      </c>
      <c r="I795" s="304">
        <f t="shared" ca="1" si="361"/>
        <v>386.66874906247648</v>
      </c>
      <c r="J795" s="306">
        <f t="shared" ca="1" si="362"/>
        <v>786.55091067769729</v>
      </c>
      <c r="K795" s="307">
        <f t="shared" ca="1" si="363"/>
        <v>2011.4619671980076</v>
      </c>
      <c r="L795" s="304">
        <f t="shared" ca="1" si="348"/>
        <v>2159.77813225618</v>
      </c>
      <c r="M795" s="306">
        <f t="shared" ca="1" si="364"/>
        <v>1.170670122127641</v>
      </c>
      <c r="N795" s="304">
        <f t="shared" ca="1" si="365"/>
        <v>67.074457199978468</v>
      </c>
      <c r="P795" s="310">
        <f t="shared" ca="1" si="366"/>
        <v>22</v>
      </c>
      <c r="Q795" s="304">
        <f t="shared" ca="1" si="367"/>
        <v>0</v>
      </c>
      <c r="R795" s="306">
        <f t="shared" ca="1" si="368"/>
        <v>0</v>
      </c>
      <c r="S795" s="307">
        <f t="shared" ca="1" si="369"/>
        <v>15.089040186296437</v>
      </c>
      <c r="T795" s="304">
        <f t="shared" ca="1" si="349"/>
        <v>148.02348422756805</v>
      </c>
      <c r="U795" s="311">
        <f t="shared" ca="1" si="350"/>
        <v>0</v>
      </c>
      <c r="V795" s="306">
        <f t="shared" ca="1" si="351"/>
        <v>1.0011129257575413</v>
      </c>
      <c r="W795" s="304">
        <f t="shared" ca="1" si="352"/>
        <v>872.54507919499099</v>
      </c>
      <c r="Y795" s="314" t="str">
        <f t="shared" ca="1" si="370"/>
        <v/>
      </c>
      <c r="Z795" s="315" t="str">
        <f t="shared" ca="1" si="371"/>
        <v/>
      </c>
      <c r="AA795" s="316" t="str">
        <f t="shared" ca="1" si="372"/>
        <v/>
      </c>
      <c r="AC795" s="310" t="e">
        <f t="shared" ca="1" si="373"/>
        <v>#N/A</v>
      </c>
      <c r="AD795" s="323" t="e">
        <f t="shared" ca="1" si="374"/>
        <v>#N/A</v>
      </c>
      <c r="AE795" s="324">
        <f t="shared" ca="1" si="353"/>
        <v>2011.4619671980076</v>
      </c>
      <c r="AG795" s="306">
        <f t="shared" ca="1" si="375"/>
        <v>-67.083636434912961</v>
      </c>
      <c r="AH795" s="304">
        <f t="shared" ca="1" si="376"/>
        <v>-58.048132763037451</v>
      </c>
    </row>
    <row r="796" spans="1:34" x14ac:dyDescent="0.2">
      <c r="A796" s="347">
        <f t="shared" ca="1" si="354"/>
        <v>0.01</v>
      </c>
      <c r="B796" s="304">
        <f t="shared" ca="1" si="355"/>
        <v>7.9199999999998756</v>
      </c>
      <c r="D796" s="306">
        <f t="shared" ca="1" si="356"/>
        <v>-22.52538783006619</v>
      </c>
      <c r="E796" s="307">
        <f t="shared" ca="1" si="357"/>
        <v>-63.06881163900249</v>
      </c>
      <c r="F796" s="304">
        <f t="shared" ca="1" si="358"/>
        <v>66.970651023047921</v>
      </c>
      <c r="G796" s="306">
        <f t="shared" ca="1" si="359"/>
        <v>150.39559542951156</v>
      </c>
      <c r="H796" s="307">
        <f t="shared" ca="1" si="360"/>
        <v>355.49580802695186</v>
      </c>
      <c r="I796" s="304">
        <f t="shared" ca="1" si="361"/>
        <v>386.00013555610667</v>
      </c>
      <c r="J796" s="306">
        <f t="shared" ca="1" si="362"/>
        <v>788.05599290138389</v>
      </c>
      <c r="K796" s="307">
        <f t="shared" ca="1" si="363"/>
        <v>2015.0200787188592</v>
      </c>
      <c r="L796" s="304">
        <f t="shared" ca="1" si="348"/>
        <v>2163.640026803891</v>
      </c>
      <c r="M796" s="306">
        <f t="shared" ca="1" si="364"/>
        <v>1.1705711238657801</v>
      </c>
      <c r="N796" s="304">
        <f t="shared" ca="1" si="365"/>
        <v>67.068785017394717</v>
      </c>
      <c r="P796" s="310">
        <f t="shared" ca="1" si="366"/>
        <v>22</v>
      </c>
      <c r="Q796" s="304">
        <f t="shared" ca="1" si="367"/>
        <v>0</v>
      </c>
      <c r="R796" s="306">
        <f t="shared" ca="1" si="368"/>
        <v>0</v>
      </c>
      <c r="S796" s="307">
        <f t="shared" ca="1" si="369"/>
        <v>15.089040186296437</v>
      </c>
      <c r="T796" s="304">
        <f t="shared" ca="1" si="349"/>
        <v>148.02348422756805</v>
      </c>
      <c r="U796" s="311">
        <f t="shared" ca="1" si="350"/>
        <v>0</v>
      </c>
      <c r="V796" s="306">
        <f t="shared" ca="1" si="351"/>
        <v>1.0007531369397462</v>
      </c>
      <c r="W796" s="304">
        <f t="shared" ca="1" si="352"/>
        <v>869.21764238602736</v>
      </c>
      <c r="Y796" s="314" t="str">
        <f t="shared" ca="1" si="370"/>
        <v/>
      </c>
      <c r="Z796" s="315" t="str">
        <f t="shared" ca="1" si="371"/>
        <v/>
      </c>
      <c r="AA796" s="316" t="str">
        <f t="shared" ca="1" si="372"/>
        <v/>
      </c>
      <c r="AC796" s="310" t="e">
        <f t="shared" ca="1" si="373"/>
        <v>#N/A</v>
      </c>
      <c r="AD796" s="323" t="e">
        <f t="shared" ca="1" si="374"/>
        <v>#N/A</v>
      </c>
      <c r="AE796" s="324">
        <f t="shared" ca="1" si="353"/>
        <v>2015.0200787188592</v>
      </c>
      <c r="AG796" s="306">
        <f t="shared" ca="1" si="375"/>
        <v>-66.861539789701325</v>
      </c>
      <c r="AH796" s="304">
        <f t="shared" ca="1" si="376"/>
        <v>-57.826413636794399</v>
      </c>
    </row>
    <row r="797" spans="1:34" x14ac:dyDescent="0.2">
      <c r="A797" s="347">
        <f t="shared" ca="1" si="354"/>
        <v>0.01</v>
      </c>
      <c r="B797" s="304">
        <f t="shared" ca="1" si="355"/>
        <v>7.9299999999998754</v>
      </c>
      <c r="D797" s="306">
        <f t="shared" ca="1" si="356"/>
        <v>-22.444739934241184</v>
      </c>
      <c r="E797" s="307">
        <f t="shared" ca="1" si="357"/>
        <v>-62.863488275974959</v>
      </c>
      <c r="F797" s="304">
        <f t="shared" ca="1" si="358"/>
        <v>66.750164860765423</v>
      </c>
      <c r="G797" s="306">
        <f t="shared" ca="1" si="359"/>
        <v>150.17114803016915</v>
      </c>
      <c r="H797" s="307">
        <f t="shared" ca="1" si="360"/>
        <v>354.86717314419212</v>
      </c>
      <c r="I797" s="304">
        <f t="shared" ca="1" si="361"/>
        <v>385.33373103849738</v>
      </c>
      <c r="J797" s="306">
        <f t="shared" ca="1" si="362"/>
        <v>789.55882661868225</v>
      </c>
      <c r="K797" s="307">
        <f t="shared" ca="1" si="363"/>
        <v>2018.5718936247149</v>
      </c>
      <c r="L797" s="304">
        <f t="shared" ca="1" si="348"/>
        <v>2167.495243460326</v>
      </c>
      <c r="M797" s="306">
        <f t="shared" ca="1" si="364"/>
        <v>1.1704719311820098</v>
      </c>
      <c r="N797" s="304">
        <f t="shared" ca="1" si="365"/>
        <v>67.063101695256094</v>
      </c>
      <c r="P797" s="310">
        <f t="shared" ca="1" si="366"/>
        <v>22</v>
      </c>
      <c r="Q797" s="304">
        <f t="shared" ca="1" si="367"/>
        <v>0</v>
      </c>
      <c r="R797" s="306">
        <f t="shared" ca="1" si="368"/>
        <v>0</v>
      </c>
      <c r="S797" s="307">
        <f t="shared" ca="1" si="369"/>
        <v>15.089040186296437</v>
      </c>
      <c r="T797" s="304">
        <f t="shared" ca="1" si="349"/>
        <v>148.02348422756805</v>
      </c>
      <c r="U797" s="311">
        <f t="shared" ca="1" si="350"/>
        <v>0</v>
      </c>
      <c r="V797" s="306">
        <f t="shared" ca="1" si="351"/>
        <v>1.0003941007948625</v>
      </c>
      <c r="W797" s="304">
        <f t="shared" ca="1" si="352"/>
        <v>865.90816610124887</v>
      </c>
      <c r="Y797" s="314" t="str">
        <f t="shared" ca="1" si="370"/>
        <v/>
      </c>
      <c r="Z797" s="315" t="str">
        <f t="shared" ca="1" si="371"/>
        <v/>
      </c>
      <c r="AA797" s="316" t="str">
        <f t="shared" ca="1" si="372"/>
        <v/>
      </c>
      <c r="AC797" s="310" t="e">
        <f t="shared" ca="1" si="373"/>
        <v>#N/A</v>
      </c>
      <c r="AD797" s="323" t="e">
        <f t="shared" ca="1" si="374"/>
        <v>#N/A</v>
      </c>
      <c r="AE797" s="324">
        <f t="shared" ca="1" si="353"/>
        <v>2018.5718936247149</v>
      </c>
      <c r="AG797" s="306">
        <f t="shared" ca="1" si="375"/>
        <v>-66.640641329495821</v>
      </c>
      <c r="AH797" s="304">
        <f t="shared" ca="1" si="376"/>
        <v>-57.605893526311462</v>
      </c>
    </row>
    <row r="798" spans="1:34" x14ac:dyDescent="0.2">
      <c r="A798" s="347">
        <f t="shared" ca="1" si="354"/>
        <v>0.01</v>
      </c>
      <c r="B798" s="304">
        <f t="shared" ca="1" si="355"/>
        <v>7.9399999999998752</v>
      </c>
      <c r="D798" s="306">
        <f t="shared" ca="1" si="356"/>
        <v>-22.364525762853777</v>
      </c>
      <c r="E798" s="307">
        <f t="shared" ca="1" si="357"/>
        <v>-62.659273247747691</v>
      </c>
      <c r="F798" s="304">
        <f t="shared" ca="1" si="358"/>
        <v>66.530869049887357</v>
      </c>
      <c r="G798" s="306">
        <f t="shared" ca="1" si="359"/>
        <v>149.94750277254062</v>
      </c>
      <c r="H798" s="307">
        <f t="shared" ca="1" si="360"/>
        <v>354.24058041171463</v>
      </c>
      <c r="I798" s="304">
        <f t="shared" ca="1" si="361"/>
        <v>384.66952361494606</v>
      </c>
      <c r="J798" s="306">
        <f t="shared" ca="1" si="362"/>
        <v>791.0594198726958</v>
      </c>
      <c r="K798" s="307">
        <f t="shared" ca="1" si="363"/>
        <v>2022.1174323924945</v>
      </c>
      <c r="L798" s="304">
        <f t="shared" ca="1" si="348"/>
        <v>2171.3438042269909</v>
      </c>
      <c r="M798" s="306">
        <f t="shared" ca="1" si="364"/>
        <v>1.1703725439256691</v>
      </c>
      <c r="N798" s="304">
        <f t="shared" ca="1" si="365"/>
        <v>67.057407224930401</v>
      </c>
      <c r="P798" s="310">
        <f t="shared" ca="1" si="366"/>
        <v>22</v>
      </c>
      <c r="Q798" s="304">
        <f t="shared" ca="1" si="367"/>
        <v>0</v>
      </c>
      <c r="R798" s="306">
        <f t="shared" ca="1" si="368"/>
        <v>0</v>
      </c>
      <c r="S798" s="307">
        <f t="shared" ca="1" si="369"/>
        <v>15.089040186296437</v>
      </c>
      <c r="T798" s="304">
        <f t="shared" ca="1" si="349"/>
        <v>148.02348422756805</v>
      </c>
      <c r="U798" s="311">
        <f t="shared" ca="1" si="350"/>
        <v>0</v>
      </c>
      <c r="V798" s="306">
        <f t="shared" ca="1" si="351"/>
        <v>1.0000358145818233</v>
      </c>
      <c r="W798" s="304">
        <f t="shared" ca="1" si="352"/>
        <v>862.61652006940699</v>
      </c>
      <c r="Y798" s="314" t="str">
        <f t="shared" ca="1" si="370"/>
        <v/>
      </c>
      <c r="Z798" s="315" t="str">
        <f t="shared" ca="1" si="371"/>
        <v/>
      </c>
      <c r="AA798" s="316" t="str">
        <f t="shared" ca="1" si="372"/>
        <v/>
      </c>
      <c r="AC798" s="310" t="e">
        <f t="shared" ca="1" si="373"/>
        <v>#N/A</v>
      </c>
      <c r="AD798" s="323" t="e">
        <f t="shared" ca="1" si="374"/>
        <v>#N/A</v>
      </c>
      <c r="AE798" s="324">
        <f t="shared" ca="1" si="353"/>
        <v>2022.1174323924945</v>
      </c>
      <c r="AG798" s="306">
        <f t="shared" ca="1" si="375"/>
        <v>-66.420932340072625</v>
      </c>
      <c r="AH798" s="304">
        <f t="shared" ca="1" si="376"/>
        <v>-57.386563718456344</v>
      </c>
    </row>
    <row r="799" spans="1:34" x14ac:dyDescent="0.2">
      <c r="A799" s="347">
        <f t="shared" ca="1" si="354"/>
        <v>0.01</v>
      </c>
      <c r="B799" s="304">
        <f t="shared" ca="1" si="355"/>
        <v>7.9499999999998749</v>
      </c>
      <c r="D799" s="306">
        <f t="shared" ca="1" si="356"/>
        <v>-22.284742167990945</v>
      </c>
      <c r="E799" s="307">
        <f t="shared" ca="1" si="357"/>
        <v>-62.456158515153049</v>
      </c>
      <c r="F799" s="304">
        <f t="shared" ca="1" si="358"/>
        <v>66.312754956823795</v>
      </c>
      <c r="G799" s="306">
        <f t="shared" ca="1" si="359"/>
        <v>149.7246553508607</v>
      </c>
      <c r="H799" s="307">
        <f t="shared" ca="1" si="360"/>
        <v>353.61601882656311</v>
      </c>
      <c r="I799" s="304">
        <f t="shared" ca="1" si="361"/>
        <v>384.00750147709647</v>
      </c>
      <c r="J799" s="306">
        <f t="shared" ca="1" si="362"/>
        <v>792.55778066331277</v>
      </c>
      <c r="K799" s="307">
        <f t="shared" ca="1" si="363"/>
        <v>2025.6567153886858</v>
      </c>
      <c r="L799" s="304">
        <f t="shared" ca="1" si="348"/>
        <v>2175.1857309869506</v>
      </c>
      <c r="M799" s="306">
        <f t="shared" ca="1" si="364"/>
        <v>1.1702729619455636</v>
      </c>
      <c r="N799" s="304">
        <f t="shared" ca="1" si="365"/>
        <v>67.0517015977548</v>
      </c>
      <c r="P799" s="310">
        <f t="shared" ca="1" si="366"/>
        <v>22</v>
      </c>
      <c r="Q799" s="304">
        <f t="shared" ca="1" si="367"/>
        <v>0</v>
      </c>
      <c r="R799" s="306">
        <f t="shared" ca="1" si="368"/>
        <v>0</v>
      </c>
      <c r="S799" s="307">
        <f t="shared" ca="1" si="369"/>
        <v>15.089040186296437</v>
      </c>
      <c r="T799" s="304">
        <f t="shared" ca="1" si="349"/>
        <v>148.02348422756805</v>
      </c>
      <c r="U799" s="311">
        <f t="shared" ca="1" si="350"/>
        <v>0</v>
      </c>
      <c r="V799" s="306">
        <f t="shared" ca="1" si="351"/>
        <v>0.99967827557509903</v>
      </c>
      <c r="W799" s="304">
        <f t="shared" ca="1" si="352"/>
        <v>859.3425752075957</v>
      </c>
      <c r="Y799" s="314" t="str">
        <f t="shared" ca="1" si="370"/>
        <v/>
      </c>
      <c r="Z799" s="315" t="str">
        <f t="shared" ca="1" si="371"/>
        <v/>
      </c>
      <c r="AA799" s="316" t="str">
        <f t="shared" ca="1" si="372"/>
        <v/>
      </c>
      <c r="AC799" s="310" t="e">
        <f t="shared" ca="1" si="373"/>
        <v>#N/A</v>
      </c>
      <c r="AD799" s="323" t="e">
        <f t="shared" ca="1" si="374"/>
        <v>#N/A</v>
      </c>
      <c r="AE799" s="324">
        <f t="shared" ca="1" si="353"/>
        <v>2025.6567153886858</v>
      </c>
      <c r="AG799" s="306">
        <f t="shared" ca="1" si="375"/>
        <v>-66.202404186835309</v>
      </c>
      <c r="AH799" s="304">
        <f t="shared" ca="1" si="376"/>
        <v>-57.168415579727728</v>
      </c>
    </row>
    <row r="800" spans="1:34" x14ac:dyDescent="0.2">
      <c r="A800" s="347">
        <f t="shared" ca="1" si="354"/>
        <v>0.01</v>
      </c>
      <c r="B800" s="304">
        <f t="shared" ca="1" si="355"/>
        <v>7.9599999999998747</v>
      </c>
      <c r="D800" s="306">
        <f t="shared" ca="1" si="356"/>
        <v>-22.205386030454473</v>
      </c>
      <c r="E800" s="307">
        <f t="shared" ca="1" si="357"/>
        <v>-62.254136112357081</v>
      </c>
      <c r="F800" s="304">
        <f t="shared" ca="1" si="358"/>
        <v>66.095814026739887</v>
      </c>
      <c r="G800" s="306">
        <f t="shared" ca="1" si="359"/>
        <v>149.50260149055615</v>
      </c>
      <c r="H800" s="307">
        <f t="shared" ca="1" si="360"/>
        <v>352.99347746543953</v>
      </c>
      <c r="I800" s="304">
        <f t="shared" ca="1" si="361"/>
        <v>383.34765290215068</v>
      </c>
      <c r="J800" s="306">
        <f t="shared" ca="1" si="362"/>
        <v>794.05391694751984</v>
      </c>
      <c r="K800" s="307">
        <f t="shared" ca="1" si="363"/>
        <v>2029.1897628701458</v>
      </c>
      <c r="L800" s="304">
        <f t="shared" ca="1" si="348"/>
        <v>2179.0210455056872</v>
      </c>
      <c r="M800" s="306">
        <f t="shared" ca="1" si="364"/>
        <v>1.1701731850899646</v>
      </c>
      <c r="N800" s="304">
        <f t="shared" ca="1" si="365"/>
        <v>67.045984805035886</v>
      </c>
      <c r="P800" s="310">
        <f t="shared" ca="1" si="366"/>
        <v>22</v>
      </c>
      <c r="Q800" s="304">
        <f t="shared" ca="1" si="367"/>
        <v>0</v>
      </c>
      <c r="R800" s="306">
        <f t="shared" ca="1" si="368"/>
        <v>0</v>
      </c>
      <c r="S800" s="307">
        <f t="shared" ca="1" si="369"/>
        <v>15.089040186296437</v>
      </c>
      <c r="T800" s="304">
        <f t="shared" ca="1" si="349"/>
        <v>148.02348422756805</v>
      </c>
      <c r="U800" s="311">
        <f t="shared" ca="1" si="350"/>
        <v>0</v>
      </c>
      <c r="V800" s="306">
        <f t="shared" ca="1" si="351"/>
        <v>0.99932148106457996</v>
      </c>
      <c r="W800" s="304">
        <f t="shared" ca="1" si="352"/>
        <v>856.086203608201</v>
      </c>
      <c r="Y800" s="314" t="str">
        <f t="shared" ca="1" si="370"/>
        <v/>
      </c>
      <c r="Z800" s="315" t="str">
        <f t="shared" ca="1" si="371"/>
        <v/>
      </c>
      <c r="AA800" s="316" t="str">
        <f t="shared" ca="1" si="372"/>
        <v/>
      </c>
      <c r="AC800" s="310" t="e">
        <f t="shared" ca="1" si="373"/>
        <v>#N/A</v>
      </c>
      <c r="AD800" s="323" t="e">
        <f t="shared" ca="1" si="374"/>
        <v>#N/A</v>
      </c>
      <c r="AE800" s="324">
        <f t="shared" ca="1" si="353"/>
        <v>2029.1897628701458</v>
      </c>
      <c r="AG800" s="306">
        <f t="shared" ca="1" si="375"/>
        <v>-65.985048313939217</v>
      </c>
      <c r="AH800" s="304">
        <f t="shared" ca="1" si="376"/>
        <v>-56.951440555379619</v>
      </c>
    </row>
    <row r="801" spans="1:34" x14ac:dyDescent="0.2">
      <c r="A801" s="347">
        <f t="shared" ca="1" si="354"/>
        <v>0.01</v>
      </c>
      <c r="B801" s="304">
        <f t="shared" ca="1" si="355"/>
        <v>7.9699999999998745</v>
      </c>
      <c r="D801" s="306">
        <f t="shared" ca="1" si="356"/>
        <v>-22.126454259445616</v>
      </c>
      <c r="E801" s="307">
        <f t="shared" ca="1" si="357"/>
        <v>-62.05319814605415</v>
      </c>
      <c r="F801" s="304">
        <f t="shared" ca="1" si="358"/>
        <v>65.880037782691033</v>
      </c>
      <c r="G801" s="306">
        <f t="shared" ca="1" si="359"/>
        <v>149.28133694796168</v>
      </c>
      <c r="H801" s="307">
        <f t="shared" ca="1" si="360"/>
        <v>352.37294548397898</v>
      </c>
      <c r="I801" s="304">
        <f t="shared" ca="1" si="361"/>
        <v>382.68996625209041</v>
      </c>
      <c r="J801" s="306">
        <f t="shared" ca="1" si="362"/>
        <v>795.54783663971239</v>
      </c>
      <c r="K801" s="307">
        <f t="shared" ca="1" si="363"/>
        <v>2032.7165949848929</v>
      </c>
      <c r="L801" s="304">
        <f t="shared" ca="1" si="348"/>
        <v>2182.8497694319467</v>
      </c>
      <c r="M801" s="306">
        <f t="shared" ca="1" si="364"/>
        <v>1.1700732132066092</v>
      </c>
      <c r="N801" s="304">
        <f t="shared" ca="1" si="365"/>
        <v>67.040256838049643</v>
      </c>
      <c r="P801" s="310">
        <f t="shared" ca="1" si="366"/>
        <v>22</v>
      </c>
      <c r="Q801" s="304">
        <f t="shared" ca="1" si="367"/>
        <v>0</v>
      </c>
      <c r="R801" s="306">
        <f t="shared" ca="1" si="368"/>
        <v>0</v>
      </c>
      <c r="S801" s="307">
        <f t="shared" ca="1" si="369"/>
        <v>15.089040186296437</v>
      </c>
      <c r="T801" s="304">
        <f t="shared" ca="1" si="349"/>
        <v>148.02348422756805</v>
      </c>
      <c r="U801" s="311">
        <f t="shared" ca="1" si="350"/>
        <v>0</v>
      </c>
      <c r="V801" s="306">
        <f t="shared" ca="1" si="351"/>
        <v>0.99896542835545865</v>
      </c>
      <c r="W801" s="304">
        <f t="shared" ca="1" si="352"/>
        <v>852.847278526021</v>
      </c>
      <c r="Y801" s="314" t="str">
        <f t="shared" ca="1" si="370"/>
        <v/>
      </c>
      <c r="Z801" s="315" t="str">
        <f t="shared" ca="1" si="371"/>
        <v/>
      </c>
      <c r="AA801" s="316" t="str">
        <f t="shared" ca="1" si="372"/>
        <v/>
      </c>
      <c r="AC801" s="310" t="e">
        <f t="shared" ca="1" si="373"/>
        <v>#N/A</v>
      </c>
      <c r="AD801" s="323" t="e">
        <f t="shared" ca="1" si="374"/>
        <v>#N/A</v>
      </c>
      <c r="AE801" s="324">
        <f t="shared" ca="1" si="353"/>
        <v>2032.7165949848929</v>
      </c>
      <c r="AG801" s="306">
        <f t="shared" ca="1" si="375"/>
        <v>-65.768856243426569</v>
      </c>
      <c r="AH801" s="304">
        <f t="shared" ca="1" si="376"/>
        <v>-56.735630168556469</v>
      </c>
    </row>
    <row r="802" spans="1:34" x14ac:dyDescent="0.2">
      <c r="A802" s="347">
        <f t="shared" ca="1" si="354"/>
        <v>0.01</v>
      </c>
      <c r="B802" s="304">
        <f t="shared" ca="1" si="355"/>
        <v>7.9799999999998743</v>
      </c>
      <c r="D802" s="306">
        <f t="shared" ca="1" si="356"/>
        <v>-22.047943792253868</v>
      </c>
      <c r="E802" s="307">
        <f t="shared" ca="1" si="357"/>
        <v>-61.853336794672174</v>
      </c>
      <c r="F802" s="304">
        <f t="shared" ca="1" si="358"/>
        <v>65.665417824769321</v>
      </c>
      <c r="G802" s="306">
        <f t="shared" ca="1" si="359"/>
        <v>149.06085751003914</v>
      </c>
      <c r="H802" s="307">
        <f t="shared" ca="1" si="360"/>
        <v>351.75441211603226</v>
      </c>
      <c r="I802" s="304">
        <f t="shared" ca="1" si="361"/>
        <v>382.03442997290659</v>
      </c>
      <c r="J802" s="306">
        <f t="shared" ca="1" si="362"/>
        <v>797.03954761200237</v>
      </c>
      <c r="K802" s="307">
        <f t="shared" ca="1" si="363"/>
        <v>2036.237231772893</v>
      </c>
      <c r="L802" s="304">
        <f t="shared" ca="1" si="348"/>
        <v>2186.671924298586</v>
      </c>
      <c r="M802" s="306">
        <f t="shared" ca="1" si="364"/>
        <v>1.1699730461426994</v>
      </c>
      <c r="N802" s="304">
        <f t="shared" ca="1" si="365"/>
        <v>67.03451768804139</v>
      </c>
      <c r="P802" s="310">
        <f t="shared" ca="1" si="366"/>
        <v>22</v>
      </c>
      <c r="Q802" s="304">
        <f t="shared" ca="1" si="367"/>
        <v>0</v>
      </c>
      <c r="R802" s="306">
        <f t="shared" ca="1" si="368"/>
        <v>0</v>
      </c>
      <c r="S802" s="307">
        <f t="shared" ca="1" si="369"/>
        <v>15.089040186296437</v>
      </c>
      <c r="T802" s="304">
        <f t="shared" ca="1" si="349"/>
        <v>148.02348422756805</v>
      </c>
      <c r="U802" s="311">
        <f t="shared" ca="1" si="350"/>
        <v>0</v>
      </c>
      <c r="V802" s="306">
        <f t="shared" ca="1" si="351"/>
        <v>0.99861011476811845</v>
      </c>
      <c r="W802" s="304">
        <f t="shared" ca="1" si="352"/>
        <v>849.62567436555366</v>
      </c>
      <c r="Y802" s="314" t="str">
        <f t="shared" ca="1" si="370"/>
        <v/>
      </c>
      <c r="Z802" s="315" t="str">
        <f t="shared" ca="1" si="371"/>
        <v/>
      </c>
      <c r="AA802" s="316" t="str">
        <f t="shared" ca="1" si="372"/>
        <v/>
      </c>
      <c r="AC802" s="310" t="e">
        <f t="shared" ca="1" si="373"/>
        <v>#N/A</v>
      </c>
      <c r="AD802" s="323" t="e">
        <f t="shared" ca="1" si="374"/>
        <v>#N/A</v>
      </c>
      <c r="AE802" s="324">
        <f t="shared" ca="1" si="353"/>
        <v>2036.237231772893</v>
      </c>
      <c r="AG802" s="306">
        <f t="shared" ca="1" si="375"/>
        <v>-65.553819574372881</v>
      </c>
      <c r="AH802" s="304">
        <f t="shared" ca="1" si="376"/>
        <v>-56.52097601943958</v>
      </c>
    </row>
    <row r="803" spans="1:34" x14ac:dyDescent="0.2">
      <c r="A803" s="347">
        <f t="shared" ca="1" si="354"/>
        <v>0.01</v>
      </c>
      <c r="B803" s="304">
        <f t="shared" ca="1" si="355"/>
        <v>7.9899999999998741</v>
      </c>
      <c r="D803" s="306">
        <f t="shared" ca="1" si="356"/>
        <v>-21.969851593949819</v>
      </c>
      <c r="E803" s="307">
        <f t="shared" ca="1" si="357"/>
        <v>-61.65454430758804</v>
      </c>
      <c r="F803" s="304">
        <f t="shared" ca="1" si="358"/>
        <v>65.451945829260993</v>
      </c>
      <c r="G803" s="306">
        <f t="shared" ca="1" si="359"/>
        <v>148.84115899409966</v>
      </c>
      <c r="H803" s="307">
        <f t="shared" ca="1" si="360"/>
        <v>351.13786667295636</v>
      </c>
      <c r="I803" s="304">
        <f t="shared" ca="1" si="361"/>
        <v>381.38103259383746</v>
      </c>
      <c r="J803" s="306">
        <f t="shared" ca="1" si="362"/>
        <v>798.52905769452309</v>
      </c>
      <c r="K803" s="307">
        <f t="shared" ca="1" si="363"/>
        <v>2039.7516931668379</v>
      </c>
      <c r="L803" s="304">
        <f t="shared" ca="1" si="348"/>
        <v>2190.4875315234017</v>
      </c>
      <c r="M803" s="306">
        <f t="shared" ca="1" si="364"/>
        <v>1.1698726837449027</v>
      </c>
      <c r="N803" s="304">
        <f t="shared" ca="1" si="365"/>
        <v>67.028767346225834</v>
      </c>
      <c r="P803" s="310">
        <f t="shared" ca="1" si="366"/>
        <v>22</v>
      </c>
      <c r="Q803" s="304">
        <f t="shared" ca="1" si="367"/>
        <v>0</v>
      </c>
      <c r="R803" s="306">
        <f t="shared" ca="1" si="368"/>
        <v>0</v>
      </c>
      <c r="S803" s="307">
        <f t="shared" ca="1" si="369"/>
        <v>15.089040186296437</v>
      </c>
      <c r="T803" s="304">
        <f t="shared" ca="1" si="349"/>
        <v>148.02348422756805</v>
      </c>
      <c r="U803" s="311">
        <f t="shared" ca="1" si="350"/>
        <v>0</v>
      </c>
      <c r="V803" s="306">
        <f t="shared" ca="1" si="351"/>
        <v>0.99825553763801578</v>
      </c>
      <c r="W803" s="304">
        <f t="shared" ca="1" si="352"/>
        <v>846.42126666844138</v>
      </c>
      <c r="Y803" s="314" t="str">
        <f t="shared" ca="1" si="370"/>
        <v/>
      </c>
      <c r="Z803" s="315" t="str">
        <f t="shared" ca="1" si="371"/>
        <v/>
      </c>
      <c r="AA803" s="316" t="str">
        <f t="shared" ca="1" si="372"/>
        <v/>
      </c>
      <c r="AC803" s="310" t="e">
        <f t="shared" ca="1" si="373"/>
        <v>#N/A</v>
      </c>
      <c r="AD803" s="323" t="e">
        <f t="shared" ca="1" si="374"/>
        <v>#N/A</v>
      </c>
      <c r="AE803" s="324">
        <f t="shared" ca="1" si="353"/>
        <v>2039.7516931668379</v>
      </c>
      <c r="AG803" s="306">
        <f t="shared" ca="1" si="375"/>
        <v>-65.339929982044382</v>
      </c>
      <c r="AH803" s="304">
        <f t="shared" ca="1" si="376"/>
        <v>-56.307469784404617</v>
      </c>
    </row>
    <row r="804" spans="1:34" x14ac:dyDescent="0.2">
      <c r="A804" s="347">
        <f t="shared" ca="1" si="354"/>
        <v>0.01</v>
      </c>
      <c r="B804" s="304">
        <f t="shared" ca="1" si="355"/>
        <v>7.9999999999998739</v>
      </c>
      <c r="D804" s="306">
        <f t="shared" ca="1" si="356"/>
        <v>-21.8921746570817</v>
      </c>
      <c r="E804" s="307">
        <f t="shared" ca="1" si="357"/>
        <v>-61.456813004352917</v>
      </c>
      <c r="F804" s="304">
        <f t="shared" ca="1" si="358"/>
        <v>65.239613547814429</v>
      </c>
      <c r="G804" s="306">
        <f t="shared" ca="1" si="359"/>
        <v>148.62223724752883</v>
      </c>
      <c r="H804" s="307">
        <f t="shared" ca="1" si="360"/>
        <v>350.52329854291281</v>
      </c>
      <c r="I804" s="304">
        <f t="shared" ca="1" si="361"/>
        <v>380.72976272661521</v>
      </c>
      <c r="J804" s="306">
        <f t="shared" ca="1" si="362"/>
        <v>800.01637467573119</v>
      </c>
      <c r="K804" s="307">
        <f t="shared" ca="1" si="363"/>
        <v>2043.2599989929172</v>
      </c>
      <c r="L804" s="304">
        <f t="shared" ca="1" si="348"/>
        <v>2194.2966124099621</v>
      </c>
      <c r="M804" s="306">
        <f t="shared" ca="1" si="364"/>
        <v>1.1697721258593512</v>
      </c>
      <c r="N804" s="304">
        <f t="shared" ca="1" si="365"/>
        <v>67.023005803786972</v>
      </c>
      <c r="P804" s="310">
        <f t="shared" ca="1" si="366"/>
        <v>22</v>
      </c>
      <c r="Q804" s="304">
        <f t="shared" ca="1" si="367"/>
        <v>0</v>
      </c>
      <c r="R804" s="306">
        <f t="shared" ca="1" si="368"/>
        <v>0</v>
      </c>
      <c r="S804" s="307">
        <f t="shared" ca="1" si="369"/>
        <v>15.089040186296437</v>
      </c>
      <c r="T804" s="304">
        <f t="shared" ca="1" si="349"/>
        <v>148.02348422756805</v>
      </c>
      <c r="U804" s="311">
        <f t="shared" ca="1" si="350"/>
        <v>0</v>
      </c>
      <c r="V804" s="306">
        <f t="shared" ca="1" si="351"/>
        <v>0.99790169431557063</v>
      </c>
      <c r="W804" s="304">
        <f t="shared" ca="1" si="352"/>
        <v>843.23393210108225</v>
      </c>
      <c r="Y804" s="314" t="str">
        <f t="shared" ca="1" si="370"/>
        <v/>
      </c>
      <c r="Z804" s="315" t="str">
        <f t="shared" ca="1" si="371"/>
        <v/>
      </c>
      <c r="AA804" s="316" t="str">
        <f t="shared" ca="1" si="372"/>
        <v/>
      </c>
      <c r="AC804" s="310">
        <f t="shared" ca="1" si="373"/>
        <v>7.9999999999998739</v>
      </c>
      <c r="AD804" s="323">
        <f t="shared" ca="1" si="374"/>
        <v>800.01637467573119</v>
      </c>
      <c r="AE804" s="324">
        <f t="shared" ca="1" si="353"/>
        <v>2043.2599989929172</v>
      </c>
      <c r="AG804" s="306">
        <f t="shared" ca="1" si="375"/>
        <v>-65.1271792170661</v>
      </c>
      <c r="AH804" s="304">
        <f t="shared" ca="1" si="376"/>
        <v>-56.095103215189539</v>
      </c>
    </row>
    <row r="805" spans="1:34" x14ac:dyDescent="0.2">
      <c r="A805" s="347">
        <f t="shared" ca="1" si="354"/>
        <v>0.1</v>
      </c>
      <c r="B805" s="304">
        <f t="shared" ca="1" si="355"/>
        <v>8.0999999999998735</v>
      </c>
      <c r="D805" s="306">
        <f t="shared" ca="1" si="356"/>
        <v>-21.814910001376077</v>
      </c>
      <c r="E805" s="307">
        <f t="shared" ca="1" si="357"/>
        <v>-61.260135273927609</v>
      </c>
      <c r="F805" s="304">
        <f t="shared" ca="1" si="358"/>
        <v>65.028412806618988</v>
      </c>
      <c r="G805" s="306">
        <f t="shared" ca="1" si="359"/>
        <v>146.44074624739122</v>
      </c>
      <c r="H805" s="307">
        <f t="shared" ca="1" si="360"/>
        <v>344.39728501552003</v>
      </c>
      <c r="I805" s="304">
        <f t="shared" ca="1" si="361"/>
        <v>374.23840274289614</v>
      </c>
      <c r="J805" s="306">
        <f t="shared" ca="1" si="362"/>
        <v>814.76952385047719</v>
      </c>
      <c r="K805" s="307">
        <f t="shared" ca="1" si="363"/>
        <v>2078.0060281708388</v>
      </c>
      <c r="L805" s="304">
        <f t="shared" ca="1" si="348"/>
        <v>2232.0301140687775</v>
      </c>
      <c r="M805" s="306">
        <f t="shared" ca="1" si="364"/>
        <v>1.1687488618513007</v>
      </c>
      <c r="N805" s="304">
        <f t="shared" ca="1" si="365"/>
        <v>66.964377094798039</v>
      </c>
      <c r="P805" s="310">
        <f t="shared" ca="1" si="366"/>
        <v>23</v>
      </c>
      <c r="Q805" s="304">
        <f t="shared" ca="1" si="367"/>
        <v>0</v>
      </c>
      <c r="R805" s="306">
        <f t="shared" ca="1" si="368"/>
        <v>0</v>
      </c>
      <c r="S805" s="307">
        <f t="shared" ca="1" si="369"/>
        <v>15.089040186296437</v>
      </c>
      <c r="T805" s="304">
        <f t="shared" ca="1" si="349"/>
        <v>148.02348422756805</v>
      </c>
      <c r="U805" s="311">
        <f t="shared" ca="1" si="350"/>
        <v>0</v>
      </c>
      <c r="V805" s="306">
        <f t="shared" ca="1" si="351"/>
        <v>0.99440332553028321</v>
      </c>
      <c r="W805" s="304">
        <f t="shared" ca="1" si="352"/>
        <v>811.86894211111041</v>
      </c>
      <c r="Y805" s="314" t="str">
        <f t="shared" ca="1" si="370"/>
        <v/>
      </c>
      <c r="Z805" s="315" t="str">
        <f t="shared" ca="1" si="371"/>
        <v/>
      </c>
      <c r="AA805" s="316" t="str">
        <f t="shared" ca="1" si="372"/>
        <v/>
      </c>
      <c r="AC805" s="310" t="e">
        <f t="shared" ca="1" si="373"/>
        <v>#N/A</v>
      </c>
      <c r="AD805" s="323" t="e">
        <f t="shared" ca="1" si="374"/>
        <v>#N/A</v>
      </c>
      <c r="AE805" s="324">
        <f t="shared" ca="1" si="353"/>
        <v>2078.0060281708388</v>
      </c>
      <c r="AG805" s="306">
        <f t="shared" ca="1" si="375"/>
        <v>-64.915559104600604</v>
      </c>
      <c r="AH805" s="304">
        <f t="shared" ca="1" si="376"/>
        <v>-55.88386813807351</v>
      </c>
    </row>
    <row r="806" spans="1:34" x14ac:dyDescent="0.2">
      <c r="A806" s="347">
        <f t="shared" ca="1" si="354"/>
        <v>0.1</v>
      </c>
      <c r="B806" s="304">
        <f t="shared" ca="1" si="355"/>
        <v>8.1999999999998732</v>
      </c>
      <c r="D806" s="306">
        <f t="shared" ca="1" si="356"/>
        <v>-21.054158842354973</v>
      </c>
      <c r="E806" s="307">
        <f t="shared" ca="1" si="357"/>
        <v>-59.324874305154189</v>
      </c>
      <c r="F806" s="304">
        <f t="shared" ca="1" si="358"/>
        <v>62.950125622443821</v>
      </c>
      <c r="G806" s="306">
        <f t="shared" ca="1" si="359"/>
        <v>144.33533036315572</v>
      </c>
      <c r="H806" s="307">
        <f t="shared" ca="1" si="360"/>
        <v>338.46479758500459</v>
      </c>
      <c r="I806" s="304">
        <f t="shared" ca="1" si="361"/>
        <v>367.9553054316508</v>
      </c>
      <c r="J806" s="306">
        <f t="shared" ca="1" si="362"/>
        <v>829.30832768100458</v>
      </c>
      <c r="K806" s="307">
        <f t="shared" ca="1" si="363"/>
        <v>2112.1491323008649</v>
      </c>
      <c r="L806" s="304">
        <f t="shared" ca="1" si="348"/>
        <v>2269.1245579386691</v>
      </c>
      <c r="M806" s="306">
        <f t="shared" ca="1" si="364"/>
        <v>1.1677056137587261</v>
      </c>
      <c r="N806" s="304">
        <f t="shared" ca="1" si="365"/>
        <v>66.904603382108434</v>
      </c>
      <c r="P806" s="310">
        <f t="shared" ca="1" si="366"/>
        <v>23</v>
      </c>
      <c r="Q806" s="304">
        <f t="shared" ca="1" si="367"/>
        <v>0</v>
      </c>
      <c r="R806" s="306">
        <f t="shared" ca="1" si="368"/>
        <v>0</v>
      </c>
      <c r="S806" s="307">
        <f t="shared" ca="1" si="369"/>
        <v>15.089040186296437</v>
      </c>
      <c r="T806" s="304">
        <f t="shared" ca="1" si="349"/>
        <v>148.02348422756805</v>
      </c>
      <c r="U806" s="311">
        <f t="shared" ca="1" si="350"/>
        <v>0</v>
      </c>
      <c r="V806" s="306">
        <f t="shared" ca="1" si="351"/>
        <v>0.99097637148810858</v>
      </c>
      <c r="W806" s="304">
        <f t="shared" ca="1" si="352"/>
        <v>782.13207407597054</v>
      </c>
      <c r="Y806" s="314" t="str">
        <f t="shared" ca="1" si="370"/>
        <v/>
      </c>
      <c r="Z806" s="315" t="str">
        <f t="shared" ca="1" si="371"/>
        <v/>
      </c>
      <c r="AA806" s="316" t="str">
        <f t="shared" ca="1" si="372"/>
        <v/>
      </c>
      <c r="AC806" s="310" t="e">
        <f t="shared" ca="1" si="373"/>
        <v>#N/A</v>
      </c>
      <c r="AD806" s="323" t="e">
        <f t="shared" ca="1" si="374"/>
        <v>#N/A</v>
      </c>
      <c r="AE806" s="324">
        <f t="shared" ca="1" si="353"/>
        <v>2112.1491323008649</v>
      </c>
      <c r="AG806" s="306">
        <f t="shared" ca="1" si="375"/>
        <v>-62.832975463563685</v>
      </c>
      <c r="AH806" s="304">
        <f t="shared" ca="1" si="376"/>
        <v>-53.80520775923398</v>
      </c>
    </row>
    <row r="807" spans="1:34" x14ac:dyDescent="0.2">
      <c r="A807" s="347">
        <f t="shared" ca="1" si="354"/>
        <v>0.1</v>
      </c>
      <c r="B807" s="304">
        <f t="shared" ca="1" si="355"/>
        <v>8.2999999999998728</v>
      </c>
      <c r="D807" s="306">
        <f t="shared" ca="1" si="356"/>
        <v>-20.332747252942013</v>
      </c>
      <c r="E807" s="307">
        <f t="shared" ca="1" si="357"/>
        <v>-57.49007365901879</v>
      </c>
      <c r="F807" s="304">
        <f t="shared" ca="1" si="358"/>
        <v>60.979744015299275</v>
      </c>
      <c r="G807" s="306">
        <f t="shared" ca="1" si="359"/>
        <v>142.30205563786151</v>
      </c>
      <c r="H807" s="307">
        <f t="shared" ca="1" si="360"/>
        <v>332.7157902191027</v>
      </c>
      <c r="I807" s="304">
        <f t="shared" ca="1" si="361"/>
        <v>361.86968939092287</v>
      </c>
      <c r="J807" s="306">
        <f t="shared" ca="1" si="362"/>
        <v>843.6401969810554</v>
      </c>
      <c r="K807" s="307">
        <f t="shared" ca="1" si="363"/>
        <v>2145.7081616910705</v>
      </c>
      <c r="L807" s="304">
        <f t="shared" ca="1" si="348"/>
        <v>2305.6002032247279</v>
      </c>
      <c r="M807" s="306">
        <f t="shared" ca="1" si="364"/>
        <v>1.1666422191285684</v>
      </c>
      <c r="N807" s="304">
        <f t="shared" ca="1" si="365"/>
        <v>66.843675357843523</v>
      </c>
      <c r="P807" s="310">
        <f t="shared" ca="1" si="366"/>
        <v>23</v>
      </c>
      <c r="Q807" s="304">
        <f t="shared" ca="1" si="367"/>
        <v>0</v>
      </c>
      <c r="R807" s="306">
        <f t="shared" ca="1" si="368"/>
        <v>0</v>
      </c>
      <c r="S807" s="307">
        <f t="shared" ca="1" si="369"/>
        <v>15.089040186296437</v>
      </c>
      <c r="T807" s="304">
        <f t="shared" ca="1" si="349"/>
        <v>148.02348422756805</v>
      </c>
      <c r="U807" s="311">
        <f t="shared" ca="1" si="350"/>
        <v>0</v>
      </c>
      <c r="V807" s="306">
        <f t="shared" ca="1" si="351"/>
        <v>0.98761833860716375</v>
      </c>
      <c r="W807" s="304">
        <f t="shared" ca="1" si="352"/>
        <v>753.91124115528169</v>
      </c>
      <c r="Y807" s="314" t="str">
        <f t="shared" ca="1" si="370"/>
        <v/>
      </c>
      <c r="Z807" s="315" t="str">
        <f t="shared" ca="1" si="371"/>
        <v/>
      </c>
      <c r="AA807" s="316" t="str">
        <f t="shared" ca="1" si="372"/>
        <v/>
      </c>
      <c r="AC807" s="310" t="e">
        <f t="shared" ca="1" si="373"/>
        <v>#N/A</v>
      </c>
      <c r="AD807" s="323" t="e">
        <f t="shared" ca="1" si="374"/>
        <v>#N/A</v>
      </c>
      <c r="AE807" s="324">
        <f t="shared" ca="1" si="353"/>
        <v>2145.7081616910705</v>
      </c>
      <c r="AG807" s="306">
        <f t="shared" ca="1" si="375"/>
        <v>-60.858206433037395</v>
      </c>
      <c r="AH807" s="304">
        <f t="shared" ca="1" si="376"/>
        <v>-51.834448342598172</v>
      </c>
    </row>
    <row r="808" spans="1:34" x14ac:dyDescent="0.2">
      <c r="A808" s="347">
        <f t="shared" ca="1" si="354"/>
        <v>0.1</v>
      </c>
      <c r="B808" s="304">
        <f t="shared" ca="1" si="355"/>
        <v>8.3999999999998725</v>
      </c>
      <c r="D808" s="306">
        <f t="shared" ca="1" si="356"/>
        <v>-19.647964728627134</v>
      </c>
      <c r="E808" s="307">
        <f t="shared" ca="1" si="357"/>
        <v>-55.74881712797211</v>
      </c>
      <c r="F808" s="304">
        <f t="shared" ca="1" si="358"/>
        <v>59.109839529011182</v>
      </c>
      <c r="G808" s="306">
        <f t="shared" ca="1" si="359"/>
        <v>140.33725916499881</v>
      </c>
      <c r="H808" s="307">
        <f t="shared" ca="1" si="360"/>
        <v>327.14090850630549</v>
      </c>
      <c r="I808" s="304">
        <f t="shared" ca="1" si="361"/>
        <v>355.97151617548695</v>
      </c>
      <c r="J808" s="306">
        <f t="shared" ca="1" si="362"/>
        <v>857.77216272119836</v>
      </c>
      <c r="K808" s="307">
        <f t="shared" ca="1" si="363"/>
        <v>2178.7009966273408</v>
      </c>
      <c r="L808" s="304">
        <f t="shared" ca="1" si="348"/>
        <v>2341.4762684777247</v>
      </c>
      <c r="M808" s="306">
        <f t="shared" ca="1" si="364"/>
        <v>1.1655585098040679</v>
      </c>
      <c r="N808" s="304">
        <f t="shared" ca="1" si="365"/>
        <v>66.781583387330684</v>
      </c>
      <c r="P808" s="310">
        <f t="shared" ca="1" si="366"/>
        <v>23</v>
      </c>
      <c r="Q808" s="304">
        <f t="shared" ca="1" si="367"/>
        <v>0</v>
      </c>
      <c r="R808" s="306">
        <f t="shared" ca="1" si="368"/>
        <v>0</v>
      </c>
      <c r="S808" s="307">
        <f t="shared" ca="1" si="369"/>
        <v>15.089040186296437</v>
      </c>
      <c r="T808" s="304">
        <f t="shared" ca="1" si="349"/>
        <v>148.02348422756805</v>
      </c>
      <c r="U808" s="311">
        <f t="shared" ca="1" si="350"/>
        <v>0</v>
      </c>
      <c r="V808" s="306">
        <f t="shared" ca="1" si="351"/>
        <v>0.9843268675857666</v>
      </c>
      <c r="W808" s="304">
        <f t="shared" ca="1" si="352"/>
        <v>727.10393380588357</v>
      </c>
      <c r="Y808" s="314" t="str">
        <f t="shared" ca="1" si="370"/>
        <v/>
      </c>
      <c r="Z808" s="315" t="str">
        <f t="shared" ca="1" si="371"/>
        <v/>
      </c>
      <c r="AA808" s="316" t="str">
        <f t="shared" ca="1" si="372"/>
        <v/>
      </c>
      <c r="AC808" s="310" t="e">
        <f t="shared" ca="1" si="373"/>
        <v>#N/A</v>
      </c>
      <c r="AD808" s="323" t="e">
        <f t="shared" ca="1" si="374"/>
        <v>#N/A</v>
      </c>
      <c r="AE808" s="324">
        <f t="shared" ca="1" si="353"/>
        <v>2178.7009966273408</v>
      </c>
      <c r="AG808" s="306">
        <f t="shared" ca="1" si="375"/>
        <v>-58.983822464995683</v>
      </c>
      <c r="AH808" s="304">
        <f t="shared" ca="1" si="376"/>
        <v>-49.96416152698491</v>
      </c>
    </row>
    <row r="809" spans="1:34" x14ac:dyDescent="0.2">
      <c r="A809" s="347">
        <f t="shared" ca="1" si="354"/>
        <v>0.1</v>
      </c>
      <c r="B809" s="304">
        <f t="shared" ca="1" si="355"/>
        <v>8.4999999999998721</v>
      </c>
      <c r="D809" s="306">
        <f t="shared" ca="1" si="356"/>
        <v>-18.99733237245789</v>
      </c>
      <c r="E809" s="307">
        <f t="shared" ca="1" si="357"/>
        <v>-54.094779455576983</v>
      </c>
      <c r="F809" s="304">
        <f t="shared" ca="1" si="358"/>
        <v>57.333618424246957</v>
      </c>
      <c r="G809" s="306">
        <f t="shared" ca="1" si="359"/>
        <v>138.43752592775303</v>
      </c>
      <c r="H809" s="307">
        <f t="shared" ca="1" si="360"/>
        <v>321.73143056074781</v>
      </c>
      <c r="I809" s="304">
        <f t="shared" ca="1" si="361"/>
        <v>350.25142682887468</v>
      </c>
      <c r="J809" s="306">
        <f t="shared" ca="1" si="362"/>
        <v>871.7109019758359</v>
      </c>
      <c r="K809" s="307">
        <f t="shared" ca="1" si="363"/>
        <v>2211.1446135806937</v>
      </c>
      <c r="L809" s="304">
        <f t="shared" ca="1" si="348"/>
        <v>2376.771002597945</v>
      </c>
      <c r="M809" s="306">
        <f t="shared" ca="1" si="364"/>
        <v>1.1644543118846924</v>
      </c>
      <c r="N809" s="304">
        <f t="shared" ca="1" si="365"/>
        <v>66.718317506803331</v>
      </c>
      <c r="P809" s="310">
        <f t="shared" ca="1" si="366"/>
        <v>23</v>
      </c>
      <c r="Q809" s="304">
        <f t="shared" ca="1" si="367"/>
        <v>0</v>
      </c>
      <c r="R809" s="306">
        <f t="shared" ca="1" si="368"/>
        <v>0</v>
      </c>
      <c r="S809" s="307">
        <f t="shared" ca="1" si="369"/>
        <v>15.089040186296437</v>
      </c>
      <c r="T809" s="304">
        <f t="shared" ca="1" si="349"/>
        <v>148.02348422756805</v>
      </c>
      <c r="U809" s="311">
        <f t="shared" ca="1" si="350"/>
        <v>0</v>
      </c>
      <c r="V809" s="306">
        <f t="shared" ca="1" si="351"/>
        <v>0.98109972392146028</v>
      </c>
      <c r="W809" s="304">
        <f t="shared" ca="1" si="352"/>
        <v>701.61624806261602</v>
      </c>
      <c r="Y809" s="314" t="str">
        <f t="shared" ca="1" si="370"/>
        <v/>
      </c>
      <c r="Z809" s="315" t="str">
        <f t="shared" ca="1" si="371"/>
        <v/>
      </c>
      <c r="AA809" s="316" t="str">
        <f t="shared" ca="1" si="372"/>
        <v/>
      </c>
      <c r="AC809" s="310" t="e">
        <f t="shared" ca="1" si="373"/>
        <v>#N/A</v>
      </c>
      <c r="AD809" s="323" t="e">
        <f t="shared" ca="1" si="374"/>
        <v>#N/A</v>
      </c>
      <c r="AE809" s="324">
        <f t="shared" ca="1" si="353"/>
        <v>2211.1446135806937</v>
      </c>
      <c r="AG809" s="306">
        <f t="shared" ca="1" si="375"/>
        <v>-57.203028691499412</v>
      </c>
      <c r="AH809" s="304">
        <f t="shared" ca="1" si="376"/>
        <v>-48.187553669995843</v>
      </c>
    </row>
    <row r="810" spans="1:34" x14ac:dyDescent="0.2">
      <c r="A810" s="347">
        <f t="shared" ca="1" si="354"/>
        <v>0.1</v>
      </c>
      <c r="B810" s="304">
        <f t="shared" ca="1" si="355"/>
        <v>8.5999999999998717</v>
      </c>
      <c r="D810" s="306">
        <f t="shared" ca="1" si="356"/>
        <v>-18.37857939502716</v>
      </c>
      <c r="E810" s="307">
        <f t="shared" ca="1" si="357"/>
        <v>-52.522166378371985</v>
      </c>
      <c r="F810" s="304">
        <f t="shared" ca="1" si="358"/>
        <v>55.644857279507015</v>
      </c>
      <c r="G810" s="306">
        <f t="shared" ca="1" si="359"/>
        <v>136.5996679882503</v>
      </c>
      <c r="H810" s="307">
        <f t="shared" ca="1" si="360"/>
        <v>316.47921392291062</v>
      </c>
      <c r="I810" s="304">
        <f t="shared" ca="1" si="361"/>
        <v>344.70068485537371</v>
      </c>
      <c r="J810" s="306">
        <f t="shared" ca="1" si="362"/>
        <v>885.46276167163603</v>
      </c>
      <c r="K810" s="307">
        <f t="shared" ca="1" si="363"/>
        <v>2243.0551458048767</v>
      </c>
      <c r="L810" s="304">
        <f t="shared" ca="1" si="348"/>
        <v>2411.5017498291181</v>
      </c>
      <c r="M810" s="306">
        <f t="shared" ca="1" si="364"/>
        <v>1.1633294456808214</v>
      </c>
      <c r="N810" s="304">
        <f t="shared" ca="1" si="365"/>
        <v>66.653867420804616</v>
      </c>
      <c r="P810" s="310">
        <f t="shared" ca="1" si="366"/>
        <v>23</v>
      </c>
      <c r="Q810" s="304">
        <f t="shared" ca="1" si="367"/>
        <v>0</v>
      </c>
      <c r="R810" s="306">
        <f t="shared" ca="1" si="368"/>
        <v>0</v>
      </c>
      <c r="S810" s="307">
        <f t="shared" ca="1" si="369"/>
        <v>15.089040186296437</v>
      </c>
      <c r="T810" s="304">
        <f t="shared" ca="1" si="349"/>
        <v>148.02348422756805</v>
      </c>
      <c r="U810" s="311">
        <f t="shared" ca="1" si="350"/>
        <v>0</v>
      </c>
      <c r="V810" s="306">
        <f t="shared" ca="1" si="351"/>
        <v>0.97793478925450528</v>
      </c>
      <c r="W810" s="304">
        <f t="shared" ca="1" si="352"/>
        <v>677.36202747202594</v>
      </c>
      <c r="Y810" s="314" t="str">
        <f t="shared" ca="1" si="370"/>
        <v/>
      </c>
      <c r="Z810" s="315" t="str">
        <f t="shared" ca="1" si="371"/>
        <v/>
      </c>
      <c r="AA810" s="316" t="str">
        <f t="shared" ca="1" si="372"/>
        <v/>
      </c>
      <c r="AC810" s="310" t="e">
        <f t="shared" ca="1" si="373"/>
        <v>#N/A</v>
      </c>
      <c r="AD810" s="323" t="e">
        <f t="shared" ca="1" si="374"/>
        <v>#N/A</v>
      </c>
      <c r="AE810" s="324">
        <f t="shared" ca="1" si="353"/>
        <v>2243.0551458048767</v>
      </c>
      <c r="AG810" s="306">
        <f t="shared" ca="1" si="375"/>
        <v>-55.50960052498705</v>
      </c>
      <c r="AH810" s="304">
        <f t="shared" ca="1" si="376"/>
        <v>-46.498401449007325</v>
      </c>
    </row>
    <row r="811" spans="1:34" x14ac:dyDescent="0.2">
      <c r="A811" s="347">
        <f t="shared" ca="1" si="354"/>
        <v>0.1</v>
      </c>
      <c r="B811" s="304">
        <f t="shared" ca="1" si="355"/>
        <v>8.6999999999998714</v>
      </c>
      <c r="D811" s="306">
        <f t="shared" ca="1" si="356"/>
        <v>-17.789622363118468</v>
      </c>
      <c r="E811" s="307">
        <f t="shared" ca="1" si="357"/>
        <v>-51.025661680447392</v>
      </c>
      <c r="F811" s="304">
        <f t="shared" ca="1" si="358"/>
        <v>54.037846124265933</v>
      </c>
      <c r="G811" s="306">
        <f t="shared" ca="1" si="359"/>
        <v>134.82070575193845</v>
      </c>
      <c r="H811" s="307">
        <f t="shared" ca="1" si="360"/>
        <v>311.37664775486587</v>
      </c>
      <c r="I811" s="304">
        <f t="shared" ca="1" si="361"/>
        <v>339.31112487878818</v>
      </c>
      <c r="J811" s="306">
        <f t="shared" ca="1" si="362"/>
        <v>899.03378035864546</v>
      </c>
      <c r="K811" s="307">
        <f t="shared" ca="1" si="363"/>
        <v>2274.4479388887657</v>
      </c>
      <c r="L811" s="304">
        <f t="shared" ca="1" si="348"/>
        <v>2445.6850093463204</v>
      </c>
      <c r="M811" s="306">
        <f t="shared" ca="1" si="364"/>
        <v>1.162183725663325</v>
      </c>
      <c r="N811" s="304">
        <f t="shared" ca="1" si="365"/>
        <v>66.588222499298425</v>
      </c>
      <c r="P811" s="310">
        <f t="shared" ca="1" si="366"/>
        <v>23</v>
      </c>
      <c r="Q811" s="304">
        <f t="shared" ca="1" si="367"/>
        <v>0</v>
      </c>
      <c r="R811" s="306">
        <f t="shared" ca="1" si="368"/>
        <v>0</v>
      </c>
      <c r="S811" s="307">
        <f t="shared" ca="1" si="369"/>
        <v>15.089040186296437</v>
      </c>
      <c r="T811" s="304">
        <f t="shared" ca="1" si="349"/>
        <v>148.02348422756805</v>
      </c>
      <c r="U811" s="311">
        <f t="shared" ca="1" si="350"/>
        <v>0</v>
      </c>
      <c r="V811" s="306">
        <f t="shared" ca="1" si="351"/>
        <v>0.97483005345112617</v>
      </c>
      <c r="W811" s="304">
        <f t="shared" ca="1" si="352"/>
        <v>654.26210368135958</v>
      </c>
      <c r="Y811" s="314" t="str">
        <f t="shared" ca="1" si="370"/>
        <v/>
      </c>
      <c r="Z811" s="315" t="str">
        <f t="shared" ca="1" si="371"/>
        <v/>
      </c>
      <c r="AA811" s="316" t="str">
        <f t="shared" ca="1" si="372"/>
        <v/>
      </c>
      <c r="AC811" s="310" t="e">
        <f t="shared" ca="1" si="373"/>
        <v>#N/A</v>
      </c>
      <c r="AD811" s="323" t="e">
        <f t="shared" ca="1" si="374"/>
        <v>#N/A</v>
      </c>
      <c r="AE811" s="324">
        <f t="shared" ca="1" si="353"/>
        <v>2274.4479388887657</v>
      </c>
      <c r="AG811" s="306">
        <f t="shared" ca="1" si="375"/>
        <v>-53.897826790677115</v>
      </c>
      <c r="AH811" s="304">
        <f t="shared" ca="1" si="376"/>
        <v>-44.890994994313324</v>
      </c>
    </row>
    <row r="812" spans="1:34" x14ac:dyDescent="0.2">
      <c r="A812" s="347">
        <f t="shared" ca="1" si="354"/>
        <v>0.1</v>
      </c>
      <c r="B812" s="304">
        <f t="shared" ca="1" si="355"/>
        <v>8.799999999999871</v>
      </c>
      <c r="D812" s="306">
        <f t="shared" ca="1" si="356"/>
        <v>-17.228546834288348</v>
      </c>
      <c r="E812" s="307">
        <f t="shared" ca="1" si="357"/>
        <v>-49.600380335338684</v>
      </c>
      <c r="F812" s="304">
        <f t="shared" ca="1" si="358"/>
        <v>52.507338110320539</v>
      </c>
      <c r="G812" s="306">
        <f t="shared" ca="1" si="359"/>
        <v>133.09785106850961</v>
      </c>
      <c r="H812" s="307">
        <f t="shared" ca="1" si="360"/>
        <v>306.41660972133201</v>
      </c>
      <c r="I812" s="304">
        <f t="shared" ca="1" si="361"/>
        <v>334.07510633414495</v>
      </c>
      <c r="J812" s="306">
        <f t="shared" ca="1" si="362"/>
        <v>912.42970819966786</v>
      </c>
      <c r="K812" s="307">
        <f t="shared" ca="1" si="363"/>
        <v>2305.3376017625756</v>
      </c>
      <c r="L812" s="304">
        <f t="shared" ca="1" si="348"/>
        <v>2479.336489971814</v>
      </c>
      <c r="M812" s="306">
        <f t="shared" ca="1" si="364"/>
        <v>1.1610169604081539</v>
      </c>
      <c r="N812" s="304">
        <f t="shared" ca="1" si="365"/>
        <v>66.521371774494611</v>
      </c>
      <c r="P812" s="310">
        <f t="shared" ca="1" si="366"/>
        <v>23</v>
      </c>
      <c r="Q812" s="304">
        <f t="shared" ca="1" si="367"/>
        <v>0</v>
      </c>
      <c r="R812" s="306">
        <f t="shared" ca="1" si="368"/>
        <v>0</v>
      </c>
      <c r="S812" s="307">
        <f t="shared" ca="1" si="369"/>
        <v>15.089040186296437</v>
      </c>
      <c r="T812" s="304">
        <f t="shared" ca="1" si="349"/>
        <v>148.02348422756805</v>
      </c>
      <c r="U812" s="311">
        <f t="shared" ca="1" si="350"/>
        <v>0</v>
      </c>
      <c r="V812" s="306">
        <f t="shared" ca="1" si="351"/>
        <v>0.97178360735181191</v>
      </c>
      <c r="W812" s="304">
        <f t="shared" ca="1" si="352"/>
        <v>632.24362288207362</v>
      </c>
      <c r="Y812" s="314" t="str">
        <f t="shared" ca="1" si="370"/>
        <v/>
      </c>
      <c r="Z812" s="315" t="str">
        <f t="shared" ca="1" si="371"/>
        <v/>
      </c>
      <c r="AA812" s="316" t="str">
        <f t="shared" ca="1" si="372"/>
        <v/>
      </c>
      <c r="AC812" s="310" t="e">
        <f t="shared" ca="1" si="373"/>
        <v>#N/A</v>
      </c>
      <c r="AD812" s="323" t="e">
        <f t="shared" ca="1" si="374"/>
        <v>#N/A</v>
      </c>
      <c r="AE812" s="324">
        <f t="shared" ca="1" si="353"/>
        <v>2305.3376017625756</v>
      </c>
      <c r="AG812" s="306">
        <f t="shared" ca="1" si="375"/>
        <v>-52.362459397139297</v>
      </c>
      <c r="AH812" s="304">
        <f t="shared" ca="1" si="376"/>
        <v>-43.36008756047633</v>
      </c>
    </row>
    <row r="813" spans="1:34" x14ac:dyDescent="0.2">
      <c r="A813" s="347">
        <f t="shared" ca="1" si="354"/>
        <v>0.1</v>
      </c>
      <c r="B813" s="304">
        <f t="shared" ca="1" si="355"/>
        <v>8.8999999999998707</v>
      </c>
      <c r="D813" s="306">
        <f t="shared" ca="1" si="356"/>
        <v>-16.693591067797986</v>
      </c>
      <c r="E813" s="307">
        <f t="shared" ca="1" si="357"/>
        <v>-48.241826945395388</v>
      </c>
      <c r="F813" s="304">
        <f t="shared" ca="1" si="358"/>
        <v>51.048504872996439</v>
      </c>
      <c r="G813" s="306">
        <f t="shared" ca="1" si="359"/>
        <v>131.4284919617298</v>
      </c>
      <c r="H813" s="307">
        <f t="shared" ca="1" si="360"/>
        <v>301.59242702679245</v>
      </c>
      <c r="I813" s="304">
        <f t="shared" ca="1" si="361"/>
        <v>328.98547162336155</v>
      </c>
      <c r="J813" s="306">
        <f t="shared" ca="1" si="362"/>
        <v>925.65602535117978</v>
      </c>
      <c r="K813" s="307">
        <f t="shared" ca="1" si="363"/>
        <v>2335.7380535999819</v>
      </c>
      <c r="L813" s="304">
        <f t="shared" ca="1" si="348"/>
        <v>2512.4711604919917</v>
      </c>
      <c r="M813" s="306">
        <f t="shared" ca="1" si="364"/>
        <v>1.1598289525360475</v>
      </c>
      <c r="N813" s="304">
        <f t="shared" ca="1" si="365"/>
        <v>66.453303937394594</v>
      </c>
      <c r="P813" s="310">
        <f t="shared" ca="1" si="366"/>
        <v>23</v>
      </c>
      <c r="Q813" s="304">
        <f t="shared" ca="1" si="367"/>
        <v>0</v>
      </c>
      <c r="R813" s="306">
        <f t="shared" ca="1" si="368"/>
        <v>0</v>
      </c>
      <c r="S813" s="307">
        <f t="shared" ca="1" si="369"/>
        <v>15.089040186296437</v>
      </c>
      <c r="T813" s="304">
        <f t="shared" ca="1" si="349"/>
        <v>148.02348422756805</v>
      </c>
      <c r="U813" s="311">
        <f t="shared" ca="1" si="350"/>
        <v>0</v>
      </c>
      <c r="V813" s="306">
        <f t="shared" ca="1" si="351"/>
        <v>0.96879363611861402</v>
      </c>
      <c r="W813" s="304">
        <f t="shared" ca="1" si="352"/>
        <v>611.23944715124344</v>
      </c>
      <c r="Y813" s="314" t="str">
        <f t="shared" ca="1" si="370"/>
        <v/>
      </c>
      <c r="Z813" s="315" t="str">
        <f t="shared" ca="1" si="371"/>
        <v/>
      </c>
      <c r="AA813" s="316" t="str">
        <f t="shared" ca="1" si="372"/>
        <v/>
      </c>
      <c r="AC813" s="310" t="e">
        <f t="shared" ca="1" si="373"/>
        <v>#N/A</v>
      </c>
      <c r="AD813" s="323" t="e">
        <f t="shared" ca="1" si="374"/>
        <v>#N/A</v>
      </c>
      <c r="AE813" s="324">
        <f t="shared" ca="1" si="353"/>
        <v>2335.7380535999819</v>
      </c>
      <c r="AG813" s="306">
        <f t="shared" ca="1" si="375"/>
        <v>-50.898668696685533</v>
      </c>
      <c r="AH813" s="304">
        <f t="shared" ca="1" si="376"/>
        <v>-41.900850887537871</v>
      </c>
    </row>
    <row r="814" spans="1:34" x14ac:dyDescent="0.2">
      <c r="A814" s="347">
        <f t="shared" ca="1" si="354"/>
        <v>0.1</v>
      </c>
      <c r="B814" s="304">
        <f t="shared" ca="1" si="355"/>
        <v>8.9999999999998703</v>
      </c>
      <c r="D814" s="306">
        <f t="shared" ca="1" si="356"/>
        <v>-16.183131546907678</v>
      </c>
      <c r="E814" s="307">
        <f t="shared" ca="1" si="357"/>
        <v>-46.94585880257177</v>
      </c>
      <c r="F814" s="304">
        <f t="shared" ca="1" si="358"/>
        <v>49.656896856081566</v>
      </c>
      <c r="G814" s="306">
        <f t="shared" ca="1" si="359"/>
        <v>129.81017880703902</v>
      </c>
      <c r="H814" s="307">
        <f t="shared" ca="1" si="360"/>
        <v>296.89784114653526</v>
      </c>
      <c r="I814" s="304">
        <f t="shared" ca="1" si="361"/>
        <v>324.03550823850884</v>
      </c>
      <c r="J814" s="306">
        <f t="shared" ca="1" si="362"/>
        <v>938.71795888961822</v>
      </c>
      <c r="K814" s="307">
        <f t="shared" ca="1" si="363"/>
        <v>2365.6625670086482</v>
      </c>
      <c r="L814" s="304">
        <f t="shared" ca="1" si="348"/>
        <v>2545.1032959956337</v>
      </c>
      <c r="M814" s="306">
        <f t="shared" ca="1" si="364"/>
        <v>1.1586194986474341</v>
      </c>
      <c r="N814" s="304">
        <f t="shared" ca="1" si="365"/>
        <v>66.384007334061366</v>
      </c>
      <c r="P814" s="310">
        <f t="shared" ca="1" si="366"/>
        <v>23</v>
      </c>
      <c r="Q814" s="304">
        <f t="shared" ca="1" si="367"/>
        <v>0</v>
      </c>
      <c r="R814" s="306">
        <f t="shared" ca="1" si="368"/>
        <v>0</v>
      </c>
      <c r="S814" s="307">
        <f t="shared" ca="1" si="369"/>
        <v>15.089040186296437</v>
      </c>
      <c r="T814" s="304">
        <f t="shared" ca="1" si="349"/>
        <v>148.02348422756805</v>
      </c>
      <c r="U814" s="311">
        <f t="shared" ca="1" si="350"/>
        <v>0</v>
      </c>
      <c r="V814" s="306">
        <f t="shared" ca="1" si="351"/>
        <v>0.96585841312295317</v>
      </c>
      <c r="W814" s="304">
        <f t="shared" ca="1" si="352"/>
        <v>591.187621287198</v>
      </c>
      <c r="Y814" s="314" t="str">
        <f t="shared" ca="1" si="370"/>
        <v/>
      </c>
      <c r="Z814" s="315" t="str">
        <f t="shared" ca="1" si="371"/>
        <v/>
      </c>
      <c r="AA814" s="316" t="str">
        <f t="shared" ca="1" si="372"/>
        <v/>
      </c>
      <c r="AC814" s="310">
        <f t="shared" ca="1" si="373"/>
        <v>8.9999999999998703</v>
      </c>
      <c r="AD814" s="323">
        <f t="shared" ca="1" si="374"/>
        <v>938.71795888961822</v>
      </c>
      <c r="AE814" s="324">
        <f t="shared" ca="1" si="353"/>
        <v>2365.6625670086482</v>
      </c>
      <c r="AG814" s="306">
        <f t="shared" ca="1" si="375"/>
        <v>-49.502003809449249</v>
      </c>
      <c r="AH814" s="304">
        <f t="shared" ca="1" si="376"/>
        <v>-40.508835525957366</v>
      </c>
    </row>
    <row r="815" spans="1:34" x14ac:dyDescent="0.2">
      <c r="A815" s="347">
        <f t="shared" ca="1" si="354"/>
        <v>0.1</v>
      </c>
      <c r="B815" s="304">
        <f t="shared" ca="1" si="355"/>
        <v>9.09999999999987</v>
      </c>
      <c r="D815" s="306">
        <f t="shared" ca="1" si="356"/>
        <v>-15.695670085107075</v>
      </c>
      <c r="E815" s="307">
        <f t="shared" ca="1" si="357"/>
        <v>-45.708652990406748</v>
      </c>
      <c r="F815" s="304">
        <f t="shared" ca="1" si="358"/>
        <v>48.32840797727507</v>
      </c>
      <c r="G815" s="306">
        <f t="shared" ca="1" si="359"/>
        <v>128.24061179852831</v>
      </c>
      <c r="H815" s="307">
        <f t="shared" ca="1" si="360"/>
        <v>292.32697584749457</v>
      </c>
      <c r="I815" s="304">
        <f t="shared" ca="1" si="361"/>
        <v>319.21891441862044</v>
      </c>
      <c r="J815" s="306">
        <f t="shared" ca="1" si="362"/>
        <v>951.62049841989653</v>
      </c>
      <c r="K815" s="307">
        <f t="shared" ca="1" si="363"/>
        <v>2395.1238078583497</v>
      </c>
      <c r="L815" s="304">
        <f t="shared" ca="1" si="348"/>
        <v>2577.2465206073734</v>
      </c>
      <c r="M815" s="306">
        <f t="shared" ca="1" si="364"/>
        <v>1.1573883892526018</v>
      </c>
      <c r="N815" s="304">
        <f t="shared" ca="1" si="365"/>
        <v>66.313469961618566</v>
      </c>
      <c r="P815" s="310">
        <f t="shared" ca="1" si="366"/>
        <v>23</v>
      </c>
      <c r="Q815" s="304">
        <f t="shared" ca="1" si="367"/>
        <v>0</v>
      </c>
      <c r="R815" s="306">
        <f t="shared" ca="1" si="368"/>
        <v>0</v>
      </c>
      <c r="S815" s="307">
        <f t="shared" ca="1" si="369"/>
        <v>15.089040186296437</v>
      </c>
      <c r="T815" s="304">
        <f t="shared" ca="1" si="349"/>
        <v>148.02348422756805</v>
      </c>
      <c r="U815" s="311">
        <f t="shared" ca="1" si="350"/>
        <v>0</v>
      </c>
      <c r="V815" s="306">
        <f t="shared" ca="1" si="351"/>
        <v>0.96297629432198639</v>
      </c>
      <c r="W815" s="304">
        <f t="shared" ca="1" si="352"/>
        <v>572.03089704723902</v>
      </c>
      <c r="Y815" s="314" t="str">
        <f t="shared" ca="1" si="370"/>
        <v/>
      </c>
      <c r="Z815" s="315" t="str">
        <f t="shared" ca="1" si="371"/>
        <v/>
      </c>
      <c r="AA815" s="316" t="str">
        <f t="shared" ca="1" si="372"/>
        <v/>
      </c>
      <c r="AC815" s="310" t="e">
        <f t="shared" ca="1" si="373"/>
        <v>#N/A</v>
      </c>
      <c r="AD815" s="323" t="e">
        <f t="shared" ca="1" si="374"/>
        <v>#N/A</v>
      </c>
      <c r="AE815" s="324">
        <f t="shared" ca="1" si="353"/>
        <v>2395.1238078583497</v>
      </c>
      <c r="AG815" s="306">
        <f t="shared" ca="1" si="375"/>
        <v>-48.168357287940644</v>
      </c>
      <c r="AH815" s="304">
        <f t="shared" ca="1" si="376"/>
        <v>-39.179935502067437</v>
      </c>
    </row>
    <row r="816" spans="1:34" x14ac:dyDescent="0.2">
      <c r="A816" s="347">
        <f t="shared" ca="1" si="354"/>
        <v>0.1</v>
      </c>
      <c r="B816" s="304">
        <f t="shared" ca="1" si="355"/>
        <v>9.1999999999998696</v>
      </c>
      <c r="D816" s="306">
        <f t="shared" ca="1" si="356"/>
        <v>-15.229822320573412</v>
      </c>
      <c r="E816" s="307">
        <f t="shared" ca="1" si="357"/>
        <v>-44.526677027885093</v>
      </c>
      <c r="F816" s="304">
        <f t="shared" ca="1" si="358"/>
        <v>47.059244097858461</v>
      </c>
      <c r="G816" s="306">
        <f t="shared" ca="1" si="359"/>
        <v>126.71762956647096</v>
      </c>
      <c r="H816" s="307">
        <f t="shared" ca="1" si="360"/>
        <v>287.87430814470605</v>
      </c>
      <c r="I816" s="304">
        <f t="shared" ca="1" si="361"/>
        <v>314.52976795962974</v>
      </c>
      <c r="J816" s="306">
        <f t="shared" ca="1" si="362"/>
        <v>964.36841048814654</v>
      </c>
      <c r="K816" s="307">
        <f t="shared" ca="1" si="363"/>
        <v>2424.1338720579597</v>
      </c>
      <c r="L816" s="304">
        <f t="shared" ca="1" si="348"/>
        <v>2608.9138469497511</v>
      </c>
      <c r="M816" s="306">
        <f t="shared" ca="1" si="364"/>
        <v>1.1561354086971896</v>
      </c>
      <c r="N816" s="304">
        <f t="shared" ca="1" si="365"/>
        <v>66.241679463981498</v>
      </c>
      <c r="P816" s="310">
        <f t="shared" ca="1" si="366"/>
        <v>23</v>
      </c>
      <c r="Q816" s="304">
        <f t="shared" ca="1" si="367"/>
        <v>0</v>
      </c>
      <c r="R816" s="306">
        <f t="shared" ca="1" si="368"/>
        <v>0</v>
      </c>
      <c r="S816" s="307">
        <f t="shared" ca="1" si="369"/>
        <v>15.089040186296437</v>
      </c>
      <c r="T816" s="304">
        <f t="shared" ca="1" si="349"/>
        <v>148.02348422756805</v>
      </c>
      <c r="U816" s="311">
        <f t="shared" ca="1" si="350"/>
        <v>0</v>
      </c>
      <c r="V816" s="306">
        <f t="shared" ca="1" si="351"/>
        <v>0.96014571307734808</v>
      </c>
      <c r="W816" s="304">
        <f t="shared" ca="1" si="352"/>
        <v>553.7163078062523</v>
      </c>
      <c r="Y816" s="314" t="str">
        <f t="shared" ca="1" si="370"/>
        <v/>
      </c>
      <c r="Z816" s="315" t="str">
        <f t="shared" ca="1" si="371"/>
        <v/>
      </c>
      <c r="AA816" s="316" t="str">
        <f t="shared" ca="1" si="372"/>
        <v/>
      </c>
      <c r="AC816" s="310" t="e">
        <f t="shared" ca="1" si="373"/>
        <v>#N/A</v>
      </c>
      <c r="AD816" s="323" t="e">
        <f t="shared" ca="1" si="374"/>
        <v>#N/A</v>
      </c>
      <c r="AE816" s="324">
        <f t="shared" ca="1" si="353"/>
        <v>2424.1338720579597</v>
      </c>
      <c r="AG816" s="306">
        <f t="shared" ca="1" si="375"/>
        <v>-46.893933585784374</v>
      </c>
      <c r="AH816" s="304">
        <f t="shared" ca="1" si="376"/>
        <v>-37.910356787752875</v>
      </c>
    </row>
    <row r="817" spans="1:34" x14ac:dyDescent="0.2">
      <c r="A817" s="347">
        <f t="shared" ca="1" si="354"/>
        <v>0.1</v>
      </c>
      <c r="B817" s="304">
        <f t="shared" ca="1" si="355"/>
        <v>9.2999999999998693</v>
      </c>
      <c r="D817" s="306">
        <f t="shared" ca="1" si="356"/>
        <v>-14.784307430019098</v>
      </c>
      <c r="E817" s="307">
        <f t="shared" ca="1" si="357"/>
        <v>-43.396662624420749</v>
      </c>
      <c r="F817" s="304">
        <f t="shared" ca="1" si="358"/>
        <v>45.845894833922856</v>
      </c>
      <c r="G817" s="306">
        <f t="shared" ca="1" si="359"/>
        <v>125.23919882346905</v>
      </c>
      <c r="H817" s="307">
        <f t="shared" ca="1" si="360"/>
        <v>283.534641882264</v>
      </c>
      <c r="I817" s="304">
        <f t="shared" ca="1" si="361"/>
        <v>309.96249784328444</v>
      </c>
      <c r="J817" s="306">
        <f t="shared" ca="1" si="362"/>
        <v>976.96625190764348</v>
      </c>
      <c r="K817" s="307">
        <f t="shared" ca="1" si="363"/>
        <v>2452.7043195593083</v>
      </c>
      <c r="L817" s="304">
        <f t="shared" ca="1" si="348"/>
        <v>2640.1177126316466</v>
      </c>
      <c r="M817" s="306">
        <f t="shared" ca="1" si="364"/>
        <v>1.1548603350830431</v>
      </c>
      <c r="N817" s="304">
        <f t="shared" ca="1" si="365"/>
        <v>66.168623127322405</v>
      </c>
      <c r="P817" s="310">
        <f t="shared" ca="1" si="366"/>
        <v>23</v>
      </c>
      <c r="Q817" s="304">
        <f t="shared" ca="1" si="367"/>
        <v>0</v>
      </c>
      <c r="R817" s="306">
        <f t="shared" ca="1" si="368"/>
        <v>0</v>
      </c>
      <c r="S817" s="307">
        <f t="shared" ca="1" si="369"/>
        <v>15.089040186296437</v>
      </c>
      <c r="T817" s="304">
        <f t="shared" ca="1" si="349"/>
        <v>148.02348422756805</v>
      </c>
      <c r="U817" s="311">
        <f t="shared" ca="1" si="350"/>
        <v>0</v>
      </c>
      <c r="V817" s="306">
        <f t="shared" ca="1" si="351"/>
        <v>0.95736517537508614</v>
      </c>
      <c r="W817" s="304">
        <f t="shared" ca="1" si="352"/>
        <v>536.19478759862136</v>
      </c>
      <c r="Y817" s="314" t="str">
        <f t="shared" ca="1" si="370"/>
        <v/>
      </c>
      <c r="Z817" s="315" t="str">
        <f t="shared" ca="1" si="371"/>
        <v/>
      </c>
      <c r="AA817" s="316" t="str">
        <f t="shared" ca="1" si="372"/>
        <v/>
      </c>
      <c r="AC817" s="310" t="e">
        <f t="shared" ca="1" si="373"/>
        <v>#N/A</v>
      </c>
      <c r="AD817" s="323" t="e">
        <f t="shared" ca="1" si="374"/>
        <v>#N/A</v>
      </c>
      <c r="AE817" s="324">
        <f t="shared" ca="1" si="353"/>
        <v>2452.7043195593083</v>
      </c>
      <c r="AG817" s="306">
        <f t="shared" ca="1" si="375"/>
        <v>-45.675220867972826</v>
      </c>
      <c r="AH817" s="304">
        <f t="shared" ca="1" si="376"/>
        <v>-36.696589111686926</v>
      </c>
    </row>
    <row r="818" spans="1:34" x14ac:dyDescent="0.2">
      <c r="A818" s="347">
        <f t="shared" ca="1" si="354"/>
        <v>0.1</v>
      </c>
      <c r="B818" s="304">
        <f t="shared" ca="1" si="355"/>
        <v>9.3999999999998689</v>
      </c>
      <c r="D818" s="306">
        <f t="shared" ca="1" si="356"/>
        <v>-14.357938915911047</v>
      </c>
      <c r="E818" s="307">
        <f t="shared" ca="1" si="357"/>
        <v>-42.315582173425611</v>
      </c>
      <c r="F818" s="304">
        <f t="shared" ca="1" si="358"/>
        <v>44.685108309021345</v>
      </c>
      <c r="G818" s="306">
        <f t="shared" ca="1" si="359"/>
        <v>123.80340493187795</v>
      </c>
      <c r="H818" s="307">
        <f t="shared" ca="1" si="360"/>
        <v>279.30308366492142</v>
      </c>
      <c r="I818" s="304">
        <f t="shared" ca="1" si="361"/>
        <v>305.51185839089885</v>
      </c>
      <c r="J818" s="306">
        <f t="shared" ca="1" si="362"/>
        <v>989.41838209541083</v>
      </c>
      <c r="K818" s="307">
        <f t="shared" ca="1" si="363"/>
        <v>2480.8462058366677</v>
      </c>
      <c r="L818" s="304">
        <f t="shared" ca="1" si="348"/>
        <v>2670.8700140296028</v>
      </c>
      <c r="M818" s="306">
        <f t="shared" ca="1" si="364"/>
        <v>1.1535629401844638</v>
      </c>
      <c r="N818" s="304">
        <f t="shared" ca="1" si="365"/>
        <v>66.094287875272016</v>
      </c>
      <c r="P818" s="310">
        <f t="shared" ca="1" si="366"/>
        <v>23</v>
      </c>
      <c r="Q818" s="304">
        <f t="shared" ca="1" si="367"/>
        <v>0</v>
      </c>
      <c r="R818" s="306">
        <f t="shared" ca="1" si="368"/>
        <v>0</v>
      </c>
      <c r="S818" s="307">
        <f t="shared" ca="1" si="369"/>
        <v>15.089040186296437</v>
      </c>
      <c r="T818" s="304">
        <f t="shared" ca="1" si="349"/>
        <v>148.02348422756805</v>
      </c>
      <c r="U818" s="311">
        <f t="shared" ca="1" si="350"/>
        <v>0</v>
      </c>
      <c r="V818" s="306">
        <f t="shared" ca="1" si="351"/>
        <v>0.95463325541003008</v>
      </c>
      <c r="W818" s="304">
        <f t="shared" ca="1" si="352"/>
        <v>519.42082930951517</v>
      </c>
      <c r="Y818" s="314" t="str">
        <f t="shared" ca="1" si="370"/>
        <v/>
      </c>
      <c r="Z818" s="315" t="str">
        <f t="shared" ca="1" si="371"/>
        <v/>
      </c>
      <c r="AA818" s="316" t="str">
        <f t="shared" ca="1" si="372"/>
        <v/>
      </c>
      <c r="AC818" s="310" t="e">
        <f t="shared" ca="1" si="373"/>
        <v>#N/A</v>
      </c>
      <c r="AD818" s="323" t="e">
        <f t="shared" ca="1" si="374"/>
        <v>#N/A</v>
      </c>
      <c r="AE818" s="324">
        <f t="shared" ca="1" si="353"/>
        <v>2480.8462058366677</v>
      </c>
      <c r="AG818" s="306">
        <f t="shared" ca="1" si="375"/>
        <v>-44.508965762503308</v>
      </c>
      <c r="AH818" s="304">
        <f t="shared" ca="1" si="376"/>
        <v>-35.535380711994037</v>
      </c>
    </row>
    <row r="819" spans="1:34" x14ac:dyDescent="0.2">
      <c r="A819" s="347">
        <f t="shared" ca="1" si="354"/>
        <v>0.1</v>
      </c>
      <c r="B819" s="304">
        <f t="shared" ca="1" si="355"/>
        <v>9.4999999999998685</v>
      </c>
      <c r="D819" s="306">
        <f t="shared" ca="1" si="356"/>
        <v>-13.94961634048107</v>
      </c>
      <c r="E819" s="307">
        <f t="shared" ca="1" si="357"/>
        <v>-41.280627661515304</v>
      </c>
      <c r="F819" s="304">
        <f t="shared" ca="1" si="358"/>
        <v>43.573868501376822</v>
      </c>
      <c r="G819" s="306">
        <f t="shared" ca="1" si="359"/>
        <v>122.40844329782985</v>
      </c>
      <c r="H819" s="307">
        <f t="shared" ca="1" si="360"/>
        <v>275.1750208987699</v>
      </c>
      <c r="I819" s="304">
        <f t="shared" ca="1" si="361"/>
        <v>301.1729056824941</v>
      </c>
      <c r="J819" s="306">
        <f t="shared" ca="1" si="362"/>
        <v>1001.7289745068962</v>
      </c>
      <c r="K819" s="307">
        <f t="shared" ca="1" si="363"/>
        <v>2508.5701110648524</v>
      </c>
      <c r="L819" s="304">
        <f t="shared" ca="1" si="348"/>
        <v>2701.1821376009734</v>
      </c>
      <c r="M819" s="306">
        <f t="shared" ca="1" si="364"/>
        <v>1.1522429893598773</v>
      </c>
      <c r="N819" s="304">
        <f t="shared" ca="1" si="365"/>
        <v>66.018660263858393</v>
      </c>
      <c r="P819" s="310">
        <f t="shared" ca="1" si="366"/>
        <v>23</v>
      </c>
      <c r="Q819" s="304">
        <f t="shared" ca="1" si="367"/>
        <v>0</v>
      </c>
      <c r="R819" s="306">
        <f t="shared" ca="1" si="368"/>
        <v>0</v>
      </c>
      <c r="S819" s="307">
        <f t="shared" ca="1" si="369"/>
        <v>15.089040186296437</v>
      </c>
      <c r="T819" s="304">
        <f t="shared" ca="1" si="349"/>
        <v>148.02348422756805</v>
      </c>
      <c r="U819" s="311">
        <f t="shared" ca="1" si="350"/>
        <v>0</v>
      </c>
      <c r="V819" s="306">
        <f t="shared" ca="1" si="351"/>
        <v>0.95194859150170485</v>
      </c>
      <c r="W819" s="304">
        <f t="shared" ca="1" si="352"/>
        <v>503.3521774678801</v>
      </c>
      <c r="Y819" s="314" t="str">
        <f t="shared" ca="1" si="370"/>
        <v/>
      </c>
      <c r="Z819" s="315" t="str">
        <f t="shared" ca="1" si="371"/>
        <v/>
      </c>
      <c r="AA819" s="316" t="str">
        <f t="shared" ca="1" si="372"/>
        <v/>
      </c>
      <c r="AC819" s="310" t="e">
        <f t="shared" ca="1" si="373"/>
        <v>#N/A</v>
      </c>
      <c r="AD819" s="323" t="e">
        <f t="shared" ca="1" si="374"/>
        <v>#N/A</v>
      </c>
      <c r="AE819" s="324">
        <f t="shared" ca="1" si="353"/>
        <v>2508.5701110648524</v>
      </c>
      <c r="AG819" s="306">
        <f t="shared" ca="1" si="375"/>
        <v>-43.392150706528895</v>
      </c>
      <c r="AH819" s="304">
        <f t="shared" ca="1" si="376"/>
        <v>-34.423715683469567</v>
      </c>
    </row>
    <row r="820" spans="1:34" x14ac:dyDescent="0.2">
      <c r="A820" s="347">
        <f t="shared" ca="1" si="354"/>
        <v>0.1</v>
      </c>
      <c r="B820" s="304">
        <f t="shared" ca="1" si="355"/>
        <v>9.5999999999998682</v>
      </c>
      <c r="D820" s="306">
        <f t="shared" ca="1" si="356"/>
        <v>-13.558317896543537</v>
      </c>
      <c r="E820" s="307">
        <f t="shared" ca="1" si="357"/>
        <v>-40.289191712747467</v>
      </c>
      <c r="F820" s="304">
        <f t="shared" ca="1" si="358"/>
        <v>42.509374884256438</v>
      </c>
      <c r="G820" s="306">
        <f t="shared" ca="1" si="359"/>
        <v>121.05261150817549</v>
      </c>
      <c r="H820" s="307">
        <f t="shared" ca="1" si="360"/>
        <v>271.14610172749514</v>
      </c>
      <c r="I820" s="304">
        <f t="shared" ca="1" si="361"/>
        <v>296.94097601201219</v>
      </c>
      <c r="J820" s="306">
        <f t="shared" ca="1" si="362"/>
        <v>1013.9020272471964</v>
      </c>
      <c r="K820" s="307">
        <f t="shared" ca="1" si="363"/>
        <v>2535.8861671961658</v>
      </c>
      <c r="L820" s="304">
        <f t="shared" ca="1" si="348"/>
        <v>2731.0649889434771</v>
      </c>
      <c r="M820" s="306">
        <f t="shared" ca="1" si="364"/>
        <v>1.1509002414589224</v>
      </c>
      <c r="N820" s="304">
        <f t="shared" ca="1" si="365"/>
        <v>65.941726476183632</v>
      </c>
      <c r="P820" s="310">
        <f t="shared" ca="1" si="366"/>
        <v>23</v>
      </c>
      <c r="Q820" s="304">
        <f t="shared" ca="1" si="367"/>
        <v>0</v>
      </c>
      <c r="R820" s="306">
        <f t="shared" ca="1" si="368"/>
        <v>0</v>
      </c>
      <c r="S820" s="307">
        <f t="shared" ca="1" si="369"/>
        <v>15.089040186296437</v>
      </c>
      <c r="T820" s="304">
        <f t="shared" ca="1" si="349"/>
        <v>148.02348422756805</v>
      </c>
      <c r="U820" s="311">
        <f t="shared" ca="1" si="350"/>
        <v>0</v>
      </c>
      <c r="V820" s="306">
        <f t="shared" ca="1" si="351"/>
        <v>0.94930988231231428</v>
      </c>
      <c r="W820" s="304">
        <f t="shared" ca="1" si="352"/>
        <v>487.94955168093242</v>
      </c>
      <c r="Y820" s="314" t="str">
        <f t="shared" ca="1" si="370"/>
        <v/>
      </c>
      <c r="Z820" s="315" t="str">
        <f t="shared" ca="1" si="371"/>
        <v/>
      </c>
      <c r="AA820" s="316" t="str">
        <f t="shared" ca="1" si="372"/>
        <v/>
      </c>
      <c r="AC820" s="310" t="e">
        <f t="shared" ca="1" si="373"/>
        <v>#N/A</v>
      </c>
      <c r="AD820" s="323" t="e">
        <f t="shared" ca="1" si="374"/>
        <v>#N/A</v>
      </c>
      <c r="AE820" s="324">
        <f t="shared" ca="1" si="353"/>
        <v>2535.8861671961658</v>
      </c>
      <c r="AG820" s="306">
        <f t="shared" ca="1" si="375"/>
        <v>-42.321973585632925</v>
      </c>
      <c r="AH820" s="304">
        <f t="shared" ca="1" si="376"/>
        <v>-33.358793617967457</v>
      </c>
    </row>
    <row r="821" spans="1:34" x14ac:dyDescent="0.2">
      <c r="A821" s="347">
        <f t="shared" ca="1" si="354"/>
        <v>0.1</v>
      </c>
      <c r="B821" s="304">
        <f t="shared" ca="1" si="355"/>
        <v>9.6999999999998678</v>
      </c>
      <c r="D821" s="306">
        <f t="shared" ca="1" si="356"/>
        <v>-13.18309371934504</v>
      </c>
      <c r="E821" s="307">
        <f t="shared" ca="1" si="357"/>
        <v>-39.338850523536372</v>
      </c>
      <c r="F821" s="304">
        <f t="shared" ca="1" si="358"/>
        <v>41.489024097056955</v>
      </c>
      <c r="G821" s="306">
        <f t="shared" ca="1" si="359"/>
        <v>119.73430213624098</v>
      </c>
      <c r="H821" s="307">
        <f t="shared" ca="1" si="360"/>
        <v>267.21221667514152</v>
      </c>
      <c r="I821" s="304">
        <f t="shared" ca="1" si="361"/>
        <v>292.81166617553924</v>
      </c>
      <c r="J821" s="306">
        <f t="shared" ca="1" si="362"/>
        <v>1025.9413729294172</v>
      </c>
      <c r="K821" s="307">
        <f t="shared" ca="1" si="363"/>
        <v>2562.8040831162975</v>
      </c>
      <c r="L821" s="304">
        <f t="shared" ca="1" si="348"/>
        <v>2760.5290197941886</v>
      </c>
      <c r="M821" s="306">
        <f t="shared" ca="1" si="364"/>
        <v>1.1495344487249697</v>
      </c>
      <c r="N821" s="304">
        <f t="shared" ca="1" si="365"/>
        <v>65.863472316838497</v>
      </c>
      <c r="P821" s="310">
        <f t="shared" ca="1" si="366"/>
        <v>23</v>
      </c>
      <c r="Q821" s="304">
        <f t="shared" ca="1" si="367"/>
        <v>0</v>
      </c>
      <c r="R821" s="306">
        <f t="shared" ca="1" si="368"/>
        <v>0</v>
      </c>
      <c r="S821" s="307">
        <f t="shared" ca="1" si="369"/>
        <v>15.089040186296437</v>
      </c>
      <c r="T821" s="304">
        <f t="shared" ca="1" si="349"/>
        <v>148.02348422756805</v>
      </c>
      <c r="U821" s="311">
        <f t="shared" ca="1" si="350"/>
        <v>0</v>
      </c>
      <c r="V821" s="306">
        <f t="shared" ca="1" si="351"/>
        <v>0.94671588334034273</v>
      </c>
      <c r="W821" s="304">
        <f t="shared" ca="1" si="352"/>
        <v>473.17639725411476</v>
      </c>
      <c r="Y821" s="314" t="str">
        <f t="shared" ca="1" si="370"/>
        <v/>
      </c>
      <c r="Z821" s="315" t="str">
        <f t="shared" ca="1" si="371"/>
        <v/>
      </c>
      <c r="AA821" s="316" t="str">
        <f t="shared" ca="1" si="372"/>
        <v/>
      </c>
      <c r="AC821" s="310" t="e">
        <f t="shared" ca="1" si="373"/>
        <v>#N/A</v>
      </c>
      <c r="AD821" s="323" t="e">
        <f t="shared" ca="1" si="374"/>
        <v>#N/A</v>
      </c>
      <c r="AE821" s="324">
        <f t="shared" ca="1" si="353"/>
        <v>2562.8040831162975</v>
      </c>
      <c r="AG821" s="306">
        <f t="shared" ca="1" si="375"/>
        <v>-41.295829403770831</v>
      </c>
      <c r="AH821" s="304">
        <f t="shared" ca="1" si="376"/>
        <v>-32.338011275500371</v>
      </c>
    </row>
    <row r="822" spans="1:34" x14ac:dyDescent="0.2">
      <c r="A822" s="347">
        <f t="shared" ca="1" si="354"/>
        <v>0.1</v>
      </c>
      <c r="B822" s="304">
        <f t="shared" ca="1" si="355"/>
        <v>9.7999999999998675</v>
      </c>
      <c r="D822" s="306">
        <f t="shared" ca="1" si="356"/>
        <v>-12.823059855863384</v>
      </c>
      <c r="E822" s="307">
        <f t="shared" ca="1" si="357"/>
        <v>-38.427348474996087</v>
      </c>
      <c r="F822" s="304">
        <f t="shared" ca="1" si="358"/>
        <v>40.51039341805803</v>
      </c>
      <c r="G822" s="306">
        <f t="shared" ca="1" si="359"/>
        <v>118.45199615065465</v>
      </c>
      <c r="H822" s="307">
        <f t="shared" ca="1" si="360"/>
        <v>263.36948182764189</v>
      </c>
      <c r="I822" s="304">
        <f t="shared" ca="1" si="361"/>
        <v>288.78081541237344</v>
      </c>
      <c r="J822" s="306">
        <f t="shared" ca="1" si="362"/>
        <v>1037.850687843762</v>
      </c>
      <c r="K822" s="307">
        <f t="shared" ca="1" si="363"/>
        <v>2589.3331680414367</v>
      </c>
      <c r="L822" s="304">
        <f t="shared" ca="1" si="348"/>
        <v>2789.5842531419039</v>
      </c>
      <c r="M822" s="306">
        <f t="shared" ca="1" si="364"/>
        <v>1.1481453566930577</v>
      </c>
      <c r="N822" s="304">
        <f t="shared" ca="1" si="365"/>
        <v>65.783883206054696</v>
      </c>
      <c r="P822" s="310">
        <f t="shared" ca="1" si="366"/>
        <v>23</v>
      </c>
      <c r="Q822" s="304">
        <f t="shared" ca="1" si="367"/>
        <v>0</v>
      </c>
      <c r="R822" s="306">
        <f t="shared" ca="1" si="368"/>
        <v>0</v>
      </c>
      <c r="S822" s="307">
        <f t="shared" ca="1" si="369"/>
        <v>15.089040186296437</v>
      </c>
      <c r="T822" s="304">
        <f t="shared" ca="1" si="349"/>
        <v>148.02348422756805</v>
      </c>
      <c r="U822" s="311">
        <f t="shared" ca="1" si="350"/>
        <v>0</v>
      </c>
      <c r="V822" s="306">
        <f t="shared" ca="1" si="351"/>
        <v>0.94416540366598378</v>
      </c>
      <c r="W822" s="304">
        <f t="shared" ca="1" si="352"/>
        <v>458.99865997412974</v>
      </c>
      <c r="Y822" s="314" t="str">
        <f t="shared" ca="1" si="370"/>
        <v/>
      </c>
      <c r="Z822" s="315" t="str">
        <f t="shared" ca="1" si="371"/>
        <v/>
      </c>
      <c r="AA822" s="316" t="str">
        <f t="shared" ca="1" si="372"/>
        <v/>
      </c>
      <c r="AC822" s="310" t="e">
        <f t="shared" ca="1" si="373"/>
        <v>#N/A</v>
      </c>
      <c r="AD822" s="323" t="e">
        <f t="shared" ca="1" si="374"/>
        <v>#N/A</v>
      </c>
      <c r="AE822" s="324">
        <f t="shared" ca="1" si="353"/>
        <v>2589.3331680414367</v>
      </c>
      <c r="AG822" s="306">
        <f t="shared" ca="1" si="375"/>
        <v>-40.311293754835091</v>
      </c>
      <c r="AH822" s="304">
        <f t="shared" ca="1" si="376"/>
        <v>-31.358946057009248</v>
      </c>
    </row>
    <row r="823" spans="1:34" x14ac:dyDescent="0.2">
      <c r="A823" s="347">
        <f t="shared" ca="1" si="354"/>
        <v>0.1</v>
      </c>
      <c r="B823" s="304">
        <f t="shared" ca="1" si="355"/>
        <v>9.8999999999998671</v>
      </c>
      <c r="D823" s="306">
        <f t="shared" ca="1" si="356"/>
        <v>-12.477392818461544</v>
      </c>
      <c r="E823" s="307">
        <f t="shared" ca="1" si="357"/>
        <v>-37.552584236221804</v>
      </c>
      <c r="F823" s="304">
        <f t="shared" ca="1" si="358"/>
        <v>39.571225838539931</v>
      </c>
      <c r="G823" s="306">
        <f t="shared" ca="1" si="359"/>
        <v>117.2042568688085</v>
      </c>
      <c r="H823" s="307">
        <f t="shared" ca="1" si="360"/>
        <v>259.6142234040197</v>
      </c>
      <c r="I823" s="304">
        <f t="shared" ca="1" si="361"/>
        <v>284.84448883880816</v>
      </c>
      <c r="J823" s="306">
        <f t="shared" ca="1" si="362"/>
        <v>1049.6335004947352</v>
      </c>
      <c r="K823" s="307">
        <f t="shared" ca="1" si="363"/>
        <v>2615.4823533030199</v>
      </c>
      <c r="L823" s="304">
        <f t="shared" ca="1" si="348"/>
        <v>2818.2403066098418</v>
      </c>
      <c r="M823" s="306">
        <f t="shared" ca="1" si="364"/>
        <v>1.146732704083232</v>
      </c>
      <c r="N823" s="304">
        <f t="shared" ca="1" si="365"/>
        <v>65.702944173593536</v>
      </c>
      <c r="P823" s="310">
        <f t="shared" ca="1" si="366"/>
        <v>23</v>
      </c>
      <c r="Q823" s="304">
        <f t="shared" ca="1" si="367"/>
        <v>0</v>
      </c>
      <c r="R823" s="306">
        <f t="shared" ca="1" si="368"/>
        <v>0</v>
      </c>
      <c r="S823" s="307">
        <f t="shared" ca="1" si="369"/>
        <v>15.089040186296437</v>
      </c>
      <c r="T823" s="304">
        <f t="shared" ca="1" si="349"/>
        <v>148.02348422756805</v>
      </c>
      <c r="U823" s="311">
        <f t="shared" ca="1" si="350"/>
        <v>0</v>
      </c>
      <c r="V823" s="306">
        <f t="shared" ca="1" si="351"/>
        <v>0.94165730292696959</v>
      </c>
      <c r="W823" s="304">
        <f t="shared" ca="1" si="352"/>
        <v>445.38458240657576</v>
      </c>
      <c r="Y823" s="314" t="str">
        <f t="shared" ca="1" si="370"/>
        <v/>
      </c>
      <c r="Z823" s="315" t="str">
        <f t="shared" ca="1" si="371"/>
        <v/>
      </c>
      <c r="AA823" s="316" t="str">
        <f t="shared" ca="1" si="372"/>
        <v/>
      </c>
      <c r="AC823" s="310" t="e">
        <f t="shared" ca="1" si="373"/>
        <v>#N/A</v>
      </c>
      <c r="AD823" s="323" t="e">
        <f t="shared" ca="1" si="374"/>
        <v>#N/A</v>
      </c>
      <c r="AE823" s="324">
        <f t="shared" ca="1" si="353"/>
        <v>2615.4823533030199</v>
      </c>
      <c r="AG823" s="306">
        <f t="shared" ca="1" si="375"/>
        <v>-39.366107895538995</v>
      </c>
      <c r="AH823" s="304">
        <f t="shared" ca="1" si="376"/>
        <v>-30.419341078499023</v>
      </c>
    </row>
    <row r="824" spans="1:34" x14ac:dyDescent="0.2">
      <c r="A824" s="347">
        <f t="shared" ca="1" si="354"/>
        <v>0.1</v>
      </c>
      <c r="B824" s="304">
        <f t="shared" ca="1" si="355"/>
        <v>9.9999999999998668</v>
      </c>
      <c r="D824" s="306">
        <f t="shared" ca="1" si="356"/>
        <v>-12.145324658845011</v>
      </c>
      <c r="E824" s="307">
        <f t="shared" ca="1" si="357"/>
        <v>-36.712598195090557</v>
      </c>
      <c r="F824" s="304">
        <f t="shared" ca="1" si="358"/>
        <v>38.66941656274264</v>
      </c>
      <c r="G824" s="306">
        <f t="shared" ca="1" si="359"/>
        <v>115.989724402924</v>
      </c>
      <c r="H824" s="307">
        <f t="shared" ca="1" si="360"/>
        <v>255.94296358451064</v>
      </c>
      <c r="I824" s="304">
        <f t="shared" ca="1" si="361"/>
        <v>280.99896223204883</v>
      </c>
      <c r="J824" s="306">
        <f t="shared" ca="1" si="362"/>
        <v>1061.2931995583219</v>
      </c>
      <c r="K824" s="307">
        <f t="shared" ca="1" si="363"/>
        <v>2641.2602126524462</v>
      </c>
      <c r="L824" s="304">
        <f t="shared" ca="1" si="348"/>
        <v>2846.5064142505607</v>
      </c>
      <c r="M824" s="306">
        <f t="shared" ca="1" si="364"/>
        <v>1.1452962226892633</v>
      </c>
      <c r="N824" s="304">
        <f t="shared" ca="1" si="365"/>
        <v>65.620639852370061</v>
      </c>
      <c r="P824" s="310">
        <f t="shared" ca="1" si="366"/>
        <v>23</v>
      </c>
      <c r="Q824" s="304">
        <f t="shared" ca="1" si="367"/>
        <v>0</v>
      </c>
      <c r="R824" s="306">
        <f t="shared" ca="1" si="368"/>
        <v>0</v>
      </c>
      <c r="S824" s="307">
        <f t="shared" ca="1" si="369"/>
        <v>15.089040186296437</v>
      </c>
      <c r="T824" s="304">
        <f t="shared" ca="1" si="349"/>
        <v>148.02348422756805</v>
      </c>
      <c r="U824" s="311">
        <f t="shared" ca="1" si="350"/>
        <v>0</v>
      </c>
      <c r="V824" s="306">
        <f t="shared" ca="1" si="351"/>
        <v>0.93919048850548059</v>
      </c>
      <c r="W824" s="304">
        <f t="shared" ca="1" si="352"/>
        <v>432.30451938278065</v>
      </c>
      <c r="Y824" s="314" t="str">
        <f t="shared" ca="1" si="370"/>
        <v/>
      </c>
      <c r="Z824" s="315" t="str">
        <f t="shared" ca="1" si="371"/>
        <v/>
      </c>
      <c r="AA824" s="316" t="str">
        <f t="shared" ca="1" si="372"/>
        <v/>
      </c>
      <c r="AC824" s="310">
        <f t="shared" ca="1" si="373"/>
        <v>9.9999999999998668</v>
      </c>
      <c r="AD824" s="323">
        <f t="shared" ca="1" si="374"/>
        <v>1061.2931995583219</v>
      </c>
      <c r="AE824" s="324">
        <f t="shared" ca="1" si="353"/>
        <v>2641.2602126524462</v>
      </c>
      <c r="AG824" s="306">
        <f t="shared" ca="1" si="375"/>
        <v>-38.458165244094779</v>
      </c>
      <c r="AH824" s="304">
        <f t="shared" ca="1" si="376"/>
        <v>-29.51709167101729</v>
      </c>
    </row>
    <row r="825" spans="1:34" x14ac:dyDescent="0.2">
      <c r="A825" s="347">
        <f t="shared" ca="1" si="354"/>
        <v>0.1</v>
      </c>
      <c r="B825" s="304">
        <f t="shared" ca="1" si="355"/>
        <v>10.099999999999866</v>
      </c>
      <c r="D825" s="306">
        <f t="shared" ca="1" si="356"/>
        <v>-11.826138506084442</v>
      </c>
      <c r="E825" s="307">
        <f t="shared" ca="1" si="357"/>
        <v>-35.905561073096628</v>
      </c>
      <c r="F825" s="304">
        <f t="shared" ca="1" si="358"/>
        <v>37.803000779554061</v>
      </c>
      <c r="G825" s="306">
        <f t="shared" ca="1" si="359"/>
        <v>114.80711055231555</v>
      </c>
      <c r="H825" s="307">
        <f t="shared" ca="1" si="360"/>
        <v>252.35240747720098</v>
      </c>
      <c r="I825" s="304">
        <f t="shared" ca="1" si="361"/>
        <v>277.24070803709702</v>
      </c>
      <c r="J825" s="306">
        <f t="shared" ca="1" si="362"/>
        <v>1072.8330413060839</v>
      </c>
      <c r="K825" s="307">
        <f t="shared" ca="1" si="363"/>
        <v>2666.6749812055318</v>
      </c>
      <c r="L825" s="304">
        <f t="shared" ca="1" si="348"/>
        <v>2874.3914468815105</v>
      </c>
      <c r="M825" s="306">
        <f t="shared" ca="1" si="364"/>
        <v>1.1438356372627136</v>
      </c>
      <c r="N825" s="304">
        <f t="shared" ca="1" si="365"/>
        <v>65.536954471810446</v>
      </c>
      <c r="P825" s="310">
        <f t="shared" ca="1" si="366"/>
        <v>23</v>
      </c>
      <c r="Q825" s="304">
        <f t="shared" ca="1" si="367"/>
        <v>0</v>
      </c>
      <c r="R825" s="306">
        <f t="shared" ca="1" si="368"/>
        <v>0</v>
      </c>
      <c r="S825" s="307">
        <f t="shared" ca="1" si="369"/>
        <v>15.089040186296437</v>
      </c>
      <c r="T825" s="304">
        <f t="shared" ca="1" si="349"/>
        <v>148.02348422756805</v>
      </c>
      <c r="U825" s="311">
        <f t="shared" ca="1" si="350"/>
        <v>0</v>
      </c>
      <c r="V825" s="306">
        <f t="shared" ca="1" si="351"/>
        <v>0.93676391290867334</v>
      </c>
      <c r="W825" s="304">
        <f t="shared" ca="1" si="352"/>
        <v>419.73077063020952</v>
      </c>
      <c r="Y825" s="314" t="str">
        <f t="shared" ca="1" si="370"/>
        <v/>
      </c>
      <c r="Z825" s="315" t="str">
        <f t="shared" ca="1" si="371"/>
        <v/>
      </c>
      <c r="AA825" s="316" t="str">
        <f t="shared" ca="1" si="372"/>
        <v/>
      </c>
      <c r="AC825" s="310" t="e">
        <f t="shared" ca="1" si="373"/>
        <v>#N/A</v>
      </c>
      <c r="AD825" s="323" t="e">
        <f t="shared" ca="1" si="374"/>
        <v>#N/A</v>
      </c>
      <c r="AE825" s="324">
        <f t="shared" ca="1" si="353"/>
        <v>2666.6749812055318</v>
      </c>
      <c r="AG825" s="306">
        <f t="shared" ca="1" si="375"/>
        <v>-37.585499150572886</v>
      </c>
      <c r="AH825" s="304">
        <f t="shared" ca="1" si="376"/>
        <v>-28.650233152363857</v>
      </c>
    </row>
    <row r="826" spans="1:34" x14ac:dyDescent="0.2">
      <c r="A826" s="347">
        <f t="shared" ca="1" si="354"/>
        <v>0.1</v>
      </c>
      <c r="B826" s="304">
        <f t="shared" ca="1" si="355"/>
        <v>10.199999999999866</v>
      </c>
      <c r="D826" s="306">
        <f t="shared" ca="1" si="356"/>
        <v>-11.519164519231873</v>
      </c>
      <c r="E826" s="307">
        <f t="shared" ca="1" si="357"/>
        <v>-35.129763598000324</v>
      </c>
      <c r="F826" s="304">
        <f t="shared" ca="1" si="358"/>
        <v>36.970142570356948</v>
      </c>
      <c r="G826" s="306">
        <f t="shared" ca="1" si="359"/>
        <v>113.65519410039236</v>
      </c>
      <c r="H826" s="307">
        <f t="shared" ca="1" si="360"/>
        <v>248.83943111740095</v>
      </c>
      <c r="I826" s="304">
        <f t="shared" ca="1" si="361"/>
        <v>273.56638248299004</v>
      </c>
      <c r="J826" s="306">
        <f t="shared" ca="1" si="362"/>
        <v>1084.2561565387193</v>
      </c>
      <c r="K826" s="307">
        <f t="shared" ca="1" si="363"/>
        <v>2691.7345731352621</v>
      </c>
      <c r="L826" s="304">
        <f t="shared" ca="1" si="348"/>
        <v>2901.9039310776275</v>
      </c>
      <c r="M826" s="306">
        <f t="shared" ca="1" si="364"/>
        <v>1.1423506653923139</v>
      </c>
      <c r="N826" s="304">
        <f t="shared" ca="1" si="365"/>
        <v>65.451871850940904</v>
      </c>
      <c r="P826" s="310">
        <f t="shared" ca="1" si="366"/>
        <v>23</v>
      </c>
      <c r="Q826" s="304">
        <f t="shared" ca="1" si="367"/>
        <v>0</v>
      </c>
      <c r="R826" s="306">
        <f t="shared" ca="1" si="368"/>
        <v>0</v>
      </c>
      <c r="S826" s="307">
        <f t="shared" ca="1" si="369"/>
        <v>15.089040186296437</v>
      </c>
      <c r="T826" s="304">
        <f t="shared" ca="1" si="349"/>
        <v>148.02348422756805</v>
      </c>
      <c r="U826" s="311">
        <f t="shared" ca="1" si="350"/>
        <v>0</v>
      </c>
      <c r="V826" s="306">
        <f t="shared" ca="1" si="351"/>
        <v>0.93437657132703666</v>
      </c>
      <c r="W826" s="304">
        <f t="shared" ca="1" si="352"/>
        <v>407.63742874360366</v>
      </c>
      <c r="Y826" s="314" t="str">
        <f t="shared" ca="1" si="370"/>
        <v/>
      </c>
      <c r="Z826" s="315" t="str">
        <f t="shared" ca="1" si="371"/>
        <v/>
      </c>
      <c r="AA826" s="316" t="str">
        <f t="shared" ca="1" si="372"/>
        <v/>
      </c>
      <c r="AC826" s="310" t="e">
        <f t="shared" ca="1" si="373"/>
        <v>#N/A</v>
      </c>
      <c r="AD826" s="323" t="e">
        <f t="shared" ca="1" si="374"/>
        <v>#N/A</v>
      </c>
      <c r="AE826" s="324">
        <f t="shared" ca="1" si="353"/>
        <v>2691.7345731352621</v>
      </c>
      <c r="AG826" s="306">
        <f t="shared" ca="1" si="375"/>
        <v>-36.746271803370618</v>
      </c>
      <c r="AH826" s="304">
        <f t="shared" ca="1" si="376"/>
        <v>-27.816929734960915</v>
      </c>
    </row>
    <row r="827" spans="1:34" x14ac:dyDescent="0.2">
      <c r="A827" s="347">
        <f t="shared" ca="1" si="354"/>
        <v>0.1</v>
      </c>
      <c r="B827" s="304">
        <f t="shared" ca="1" si="355"/>
        <v>10.299999999999866</v>
      </c>
      <c r="D827" s="306">
        <f t="shared" ca="1" si="356"/>
        <v>-11.223776210930424</v>
      </c>
      <c r="E827" s="307">
        <f t="shared" ca="1" si="357"/>
        <v>-34.383607123049238</v>
      </c>
      <c r="F827" s="304">
        <f t="shared" ca="1" si="358"/>
        <v>36.16912483355452</v>
      </c>
      <c r="G827" s="306">
        <f t="shared" ca="1" si="359"/>
        <v>112.53281647929933</v>
      </c>
      <c r="H827" s="307">
        <f t="shared" ca="1" si="360"/>
        <v>245.40107040509602</v>
      </c>
      <c r="I827" s="304">
        <f t="shared" ca="1" si="361"/>
        <v>269.97281370673335</v>
      </c>
      <c r="J827" s="306">
        <f t="shared" ca="1" si="362"/>
        <v>1095.5655570677038</v>
      </c>
      <c r="K827" s="307">
        <f t="shared" ca="1" si="363"/>
        <v>2716.446598211387</v>
      </c>
      <c r="L827" s="304">
        <f t="shared" ca="1" si="348"/>
        <v>2929.0520669266507</v>
      </c>
      <c r="M827" s="306">
        <f t="shared" ca="1" si="364"/>
        <v>1.140841017378609</v>
      </c>
      <c r="N827" s="304">
        <f t="shared" ca="1" si="365"/>
        <v>65.365375391205305</v>
      </c>
      <c r="P827" s="310">
        <f t="shared" ca="1" si="366"/>
        <v>23</v>
      </c>
      <c r="Q827" s="304">
        <f t="shared" ca="1" si="367"/>
        <v>0</v>
      </c>
      <c r="R827" s="306">
        <f t="shared" ca="1" si="368"/>
        <v>0</v>
      </c>
      <c r="S827" s="307">
        <f t="shared" ca="1" si="369"/>
        <v>15.089040186296437</v>
      </c>
      <c r="T827" s="304">
        <f t="shared" ca="1" si="349"/>
        <v>148.02348422756805</v>
      </c>
      <c r="U827" s="311">
        <f t="shared" ca="1" si="350"/>
        <v>0</v>
      </c>
      <c r="V827" s="306">
        <f t="shared" ca="1" si="351"/>
        <v>0.93202749935626328</v>
      </c>
      <c r="W827" s="304">
        <f t="shared" ca="1" si="352"/>
        <v>396.0002409051188</v>
      </c>
      <c r="Y827" s="314" t="str">
        <f t="shared" ca="1" si="370"/>
        <v/>
      </c>
      <c r="Z827" s="315" t="str">
        <f t="shared" ca="1" si="371"/>
        <v/>
      </c>
      <c r="AA827" s="316" t="str">
        <f t="shared" ca="1" si="372"/>
        <v/>
      </c>
      <c r="AC827" s="310" t="e">
        <f t="shared" ca="1" si="373"/>
        <v>#N/A</v>
      </c>
      <c r="AD827" s="323" t="e">
        <f t="shared" ca="1" si="374"/>
        <v>#N/A</v>
      </c>
      <c r="AE827" s="324">
        <f t="shared" ca="1" si="353"/>
        <v>2716.446598211387</v>
      </c>
      <c r="AG827" s="306">
        <f t="shared" ca="1" si="375"/>
        <v>-35.938764152308693</v>
      </c>
      <c r="AH827" s="304">
        <f t="shared" ca="1" si="376"/>
        <v>-27.015464450403663</v>
      </c>
    </row>
    <row r="828" spans="1:34" x14ac:dyDescent="0.2">
      <c r="A828" s="347">
        <f t="shared" ca="1" si="354"/>
        <v>0.1</v>
      </c>
      <c r="B828" s="304">
        <f t="shared" ca="1" si="355"/>
        <v>10.399999999999865</v>
      </c>
      <c r="D828" s="306">
        <f t="shared" ca="1" si="356"/>
        <v>-10.939387103523018</v>
      </c>
      <c r="E828" s="307">
        <f t="shared" ca="1" si="357"/>
        <v>-33.665595094556949</v>
      </c>
      <c r="F828" s="304">
        <f t="shared" ca="1" si="358"/>
        <v>35.398340120285056</v>
      </c>
      <c r="G828" s="306">
        <f t="shared" ca="1" si="359"/>
        <v>111.43887776894702</v>
      </c>
      <c r="H828" s="307">
        <f t="shared" ca="1" si="360"/>
        <v>242.03451089564032</v>
      </c>
      <c r="I828" s="304">
        <f t="shared" ca="1" si="361"/>
        <v>266.45699079381302</v>
      </c>
      <c r="J828" s="306">
        <f t="shared" ca="1" si="362"/>
        <v>1106.7641417801162</v>
      </c>
      <c r="K828" s="307">
        <f t="shared" ca="1" si="363"/>
        <v>2740.8183772764237</v>
      </c>
      <c r="L828" s="304">
        <f t="shared" ca="1" si="348"/>
        <v>2955.843744643219</v>
      </c>
      <c r="M828" s="306">
        <f t="shared" ca="1" si="364"/>
        <v>1.1393063961038203</v>
      </c>
      <c r="N828" s="304">
        <f t="shared" ca="1" si="365"/>
        <v>65.277448069008926</v>
      </c>
      <c r="P828" s="310">
        <f t="shared" ca="1" si="366"/>
        <v>23</v>
      </c>
      <c r="Q828" s="304">
        <f t="shared" ca="1" si="367"/>
        <v>0</v>
      </c>
      <c r="R828" s="306">
        <f t="shared" ca="1" si="368"/>
        <v>0</v>
      </c>
      <c r="S828" s="307">
        <f t="shared" ca="1" si="369"/>
        <v>15.089040186296437</v>
      </c>
      <c r="T828" s="304">
        <f t="shared" ca="1" si="349"/>
        <v>148.02348422756805</v>
      </c>
      <c r="U828" s="311">
        <f t="shared" ca="1" si="350"/>
        <v>0</v>
      </c>
      <c r="V828" s="306">
        <f t="shared" ca="1" si="351"/>
        <v>0.92971577086965562</v>
      </c>
      <c r="W828" s="304">
        <f t="shared" ca="1" si="352"/>
        <v>384.79648294566357</v>
      </c>
      <c r="Y828" s="314" t="str">
        <f t="shared" ca="1" si="370"/>
        <v/>
      </c>
      <c r="Z828" s="315" t="str">
        <f t="shared" ca="1" si="371"/>
        <v/>
      </c>
      <c r="AA828" s="316" t="str">
        <f t="shared" ca="1" si="372"/>
        <v/>
      </c>
      <c r="AC828" s="310" t="e">
        <f t="shared" ca="1" si="373"/>
        <v>#N/A</v>
      </c>
      <c r="AD828" s="323" t="e">
        <f t="shared" ca="1" si="374"/>
        <v>#N/A</v>
      </c>
      <c r="AE828" s="324">
        <f t="shared" ca="1" si="353"/>
        <v>2740.8183772764237</v>
      </c>
      <c r="AG828" s="306">
        <f t="shared" ca="1" si="375"/>
        <v>-35.161366742864899</v>
      </c>
      <c r="AH828" s="304">
        <f t="shared" ca="1" si="376"/>
        <v>-26.244229985201994</v>
      </c>
    </row>
    <row r="829" spans="1:34" x14ac:dyDescent="0.2">
      <c r="A829" s="347">
        <f t="shared" ca="1" si="354"/>
        <v>0.1</v>
      </c>
      <c r="B829" s="304">
        <f t="shared" ca="1" si="355"/>
        <v>10.499999999999865</v>
      </c>
      <c r="D829" s="306">
        <f t="shared" ca="1" si="356"/>
        <v>-10.665447683613948</v>
      </c>
      <c r="E829" s="307">
        <f t="shared" ca="1" si="357"/>
        <v>-32.974325280973559</v>
      </c>
      <c r="F829" s="304">
        <f t="shared" ca="1" si="358"/>
        <v>34.65628228802619</v>
      </c>
      <c r="G829" s="306">
        <f t="shared" ca="1" si="359"/>
        <v>110.37233300058563</v>
      </c>
      <c r="H829" s="307">
        <f t="shared" ca="1" si="360"/>
        <v>238.73707836754298</v>
      </c>
      <c r="I829" s="304">
        <f t="shared" ca="1" si="361"/>
        <v>263.01605365350326</v>
      </c>
      <c r="J829" s="306">
        <f t="shared" ca="1" si="362"/>
        <v>1117.8547023185929</v>
      </c>
      <c r="K829" s="307">
        <f t="shared" ca="1" si="363"/>
        <v>2764.856956739583</v>
      </c>
      <c r="L829" s="304">
        <f t="shared" ca="1" si="348"/>
        <v>2982.2865601291664</v>
      </c>
      <c r="M829" s="306">
        <f t="shared" ca="1" si="364"/>
        <v>1.1377464968968665</v>
      </c>
      <c r="N829" s="304">
        <f t="shared" ca="1" si="365"/>
        <v>65.188072427984665</v>
      </c>
      <c r="P829" s="310">
        <f t="shared" ca="1" si="366"/>
        <v>23</v>
      </c>
      <c r="Q829" s="304">
        <f t="shared" ca="1" si="367"/>
        <v>0</v>
      </c>
      <c r="R829" s="306">
        <f t="shared" ca="1" si="368"/>
        <v>0</v>
      </c>
      <c r="S829" s="307">
        <f t="shared" ca="1" si="369"/>
        <v>15.089040186296437</v>
      </c>
      <c r="T829" s="304">
        <f t="shared" ca="1" si="349"/>
        <v>148.02348422756805</v>
      </c>
      <c r="U829" s="311">
        <f t="shared" ca="1" si="350"/>
        <v>0</v>
      </c>
      <c r="V829" s="306">
        <f t="shared" ca="1" si="351"/>
        <v>0.92744049602927336</v>
      </c>
      <c r="W829" s="304">
        <f t="shared" ca="1" si="352"/>
        <v>374.00484450020178</v>
      </c>
      <c r="Y829" s="314" t="str">
        <f t="shared" ca="1" si="370"/>
        <v/>
      </c>
      <c r="Z829" s="315" t="str">
        <f t="shared" ca="1" si="371"/>
        <v/>
      </c>
      <c r="AA829" s="316" t="str">
        <f t="shared" ca="1" si="372"/>
        <v/>
      </c>
      <c r="AC829" s="310" t="e">
        <f t="shared" ca="1" si="373"/>
        <v>#N/A</v>
      </c>
      <c r="AD829" s="323" t="e">
        <f t="shared" ca="1" si="374"/>
        <v>#N/A</v>
      </c>
      <c r="AE829" s="324">
        <f t="shared" ca="1" si="353"/>
        <v>2764.856956739583</v>
      </c>
      <c r="AG829" s="306">
        <f t="shared" ca="1" si="375"/>
        <v>-34.412571368243675</v>
      </c>
      <c r="AH829" s="304">
        <f t="shared" ca="1" si="376"/>
        <v>-25.50172033441385</v>
      </c>
    </row>
    <row r="830" spans="1:34" x14ac:dyDescent="0.2">
      <c r="A830" s="347">
        <f t="shared" ca="1" si="354"/>
        <v>0.1</v>
      </c>
      <c r="B830" s="304">
        <f t="shared" ca="1" si="355"/>
        <v>10.599999999999865</v>
      </c>
      <c r="D830" s="306">
        <f t="shared" ca="1" si="356"/>
        <v>-10.401442624920444</v>
      </c>
      <c r="E830" s="307">
        <f t="shared" ca="1" si="357"/>
        <v>-32.30848268648954</v>
      </c>
      <c r="F830" s="304">
        <f t="shared" ca="1" si="358"/>
        <v>33.941538889430255</v>
      </c>
      <c r="G830" s="306">
        <f t="shared" ca="1" si="359"/>
        <v>109.33218873809358</v>
      </c>
      <c r="H830" s="307">
        <f t="shared" ca="1" si="360"/>
        <v>235.50623009889404</v>
      </c>
      <c r="I830" s="304">
        <f t="shared" ca="1" si="361"/>
        <v>259.64728365545312</v>
      </c>
      <c r="J830" s="306">
        <f t="shared" ca="1" si="362"/>
        <v>1128.839928405527</v>
      </c>
      <c r="K830" s="307">
        <f t="shared" ca="1" si="363"/>
        <v>2788.5691221629049</v>
      </c>
      <c r="L830" s="304">
        <f t="shared" ca="1" si="348"/>
        <v>3008.3878295597115</v>
      </c>
      <c r="M830" s="306">
        <f t="shared" ca="1" si="364"/>
        <v>1.1361610073934874</v>
      </c>
      <c r="N830" s="304">
        <f t="shared" ca="1" si="365"/>
        <v>65.097230570978752</v>
      </c>
      <c r="P830" s="310">
        <f t="shared" ca="1" si="366"/>
        <v>23</v>
      </c>
      <c r="Q830" s="304">
        <f t="shared" ca="1" si="367"/>
        <v>0</v>
      </c>
      <c r="R830" s="306">
        <f t="shared" ca="1" si="368"/>
        <v>0</v>
      </c>
      <c r="S830" s="307">
        <f t="shared" ca="1" si="369"/>
        <v>15.089040186296437</v>
      </c>
      <c r="T830" s="304">
        <f t="shared" ca="1" si="349"/>
        <v>148.02348422756805</v>
      </c>
      <c r="U830" s="311">
        <f t="shared" ca="1" si="350"/>
        <v>0</v>
      </c>
      <c r="V830" s="306">
        <f t="shared" ca="1" si="351"/>
        <v>0.9252008194250908</v>
      </c>
      <c r="W830" s="304">
        <f t="shared" ca="1" si="352"/>
        <v>363.60532415021032</v>
      </c>
      <c r="Y830" s="314" t="str">
        <f t="shared" ca="1" si="370"/>
        <v/>
      </c>
      <c r="Z830" s="315" t="str">
        <f t="shared" ca="1" si="371"/>
        <v/>
      </c>
      <c r="AA830" s="316" t="str">
        <f t="shared" ca="1" si="372"/>
        <v/>
      </c>
      <c r="AC830" s="310" t="e">
        <f t="shared" ca="1" si="373"/>
        <v>#N/A</v>
      </c>
      <c r="AD830" s="323" t="e">
        <f t="shared" ca="1" si="374"/>
        <v>#N/A</v>
      </c>
      <c r="AE830" s="324">
        <f t="shared" ca="1" si="353"/>
        <v>2788.5691221629049</v>
      </c>
      <c r="AG830" s="306">
        <f t="shared" ca="1" si="375"/>
        <v>-33.690963456621816</v>
      </c>
      <c r="AH830" s="304">
        <f t="shared" ca="1" si="376"/>
        <v>-24.786523190511843</v>
      </c>
    </row>
    <row r="831" spans="1:34" x14ac:dyDescent="0.2">
      <c r="A831" s="347">
        <f t="shared" ca="1" si="354"/>
        <v>0.1</v>
      </c>
      <c r="B831" s="304">
        <f t="shared" ca="1" si="355"/>
        <v>10.699999999999864</v>
      </c>
      <c r="D831" s="306">
        <f t="shared" ca="1" si="356"/>
        <v>-10.146888252647216</v>
      </c>
      <c r="E831" s="307">
        <f t="shared" ca="1" si="357"/>
        <v>-31.666833080879272</v>
      </c>
      <c r="F831" s="304">
        <f t="shared" ca="1" si="358"/>
        <v>33.25278422303883</v>
      </c>
      <c r="G831" s="306">
        <f t="shared" ca="1" si="359"/>
        <v>108.31749991282885</v>
      </c>
      <c r="H831" s="307">
        <f t="shared" ca="1" si="360"/>
        <v>232.33954679080611</v>
      </c>
      <c r="I831" s="304">
        <f t="shared" ca="1" si="361"/>
        <v>256.34809496136859</v>
      </c>
      <c r="J831" s="306">
        <f t="shared" ca="1" si="362"/>
        <v>1139.7224128380731</v>
      </c>
      <c r="K831" s="307">
        <f t="shared" ca="1" si="363"/>
        <v>2811.9614110073899</v>
      </c>
      <c r="L831" s="304">
        <f t="shared" ca="1" si="348"/>
        <v>3034.1546030682271</v>
      </c>
      <c r="M831" s="306">
        <f t="shared" ca="1" si="364"/>
        <v>1.1345496073913985</v>
      </c>
      <c r="N831" s="304">
        <f t="shared" ca="1" si="365"/>
        <v>65.004904151751688</v>
      </c>
      <c r="P831" s="310">
        <f t="shared" ca="1" si="366"/>
        <v>23</v>
      </c>
      <c r="Q831" s="304">
        <f t="shared" ca="1" si="367"/>
        <v>0</v>
      </c>
      <c r="R831" s="306">
        <f t="shared" ca="1" si="368"/>
        <v>0</v>
      </c>
      <c r="S831" s="307">
        <f t="shared" ca="1" si="369"/>
        <v>15.089040186296437</v>
      </c>
      <c r="T831" s="304">
        <f t="shared" ca="1" si="349"/>
        <v>148.02348422756805</v>
      </c>
      <c r="U831" s="311">
        <f t="shared" ca="1" si="350"/>
        <v>0</v>
      </c>
      <c r="V831" s="306">
        <f t="shared" ca="1" si="351"/>
        <v>0.92299591833239625</v>
      </c>
      <c r="W831" s="304">
        <f t="shared" ca="1" si="352"/>
        <v>353.57913356951332</v>
      </c>
      <c r="Y831" s="314" t="str">
        <f t="shared" ca="1" si="370"/>
        <v/>
      </c>
      <c r="Z831" s="315" t="str">
        <f t="shared" ca="1" si="371"/>
        <v/>
      </c>
      <c r="AA831" s="316" t="str">
        <f t="shared" ca="1" si="372"/>
        <v/>
      </c>
      <c r="AC831" s="310" t="e">
        <f t="shared" ca="1" si="373"/>
        <v>#N/A</v>
      </c>
      <c r="AD831" s="323" t="e">
        <f t="shared" ca="1" si="374"/>
        <v>#N/A</v>
      </c>
      <c r="AE831" s="324">
        <f t="shared" ca="1" si="353"/>
        <v>2811.9614110073899</v>
      </c>
      <c r="AG831" s="306">
        <f t="shared" ca="1" si="375"/>
        <v>-32.99521512021667</v>
      </c>
      <c r="AH831" s="304">
        <f t="shared" ca="1" si="376"/>
        <v>-24.09731299413129</v>
      </c>
    </row>
    <row r="832" spans="1:34" x14ac:dyDescent="0.2">
      <c r="A832" s="347">
        <f t="shared" ca="1" si="354"/>
        <v>0.1</v>
      </c>
      <c r="B832" s="304">
        <f t="shared" ca="1" si="355"/>
        <v>10.799999999999864</v>
      </c>
      <c r="D832" s="306">
        <f t="shared" ca="1" si="356"/>
        <v>-9.9013302255927105</v>
      </c>
      <c r="E832" s="307">
        <f t="shared" ca="1" si="357"/>
        <v>-31.048217084881763</v>
      </c>
      <c r="F832" s="304">
        <f t="shared" ca="1" si="358"/>
        <v>32.588772980678172</v>
      </c>
      <c r="G832" s="306">
        <f t="shared" ca="1" si="359"/>
        <v>107.32736689026957</v>
      </c>
      <c r="H832" s="307">
        <f t="shared" ca="1" si="360"/>
        <v>229.23472508231794</v>
      </c>
      <c r="I832" s="304">
        <f t="shared" ca="1" si="361"/>
        <v>253.11602649212952</v>
      </c>
      <c r="J832" s="306">
        <f t="shared" ca="1" si="362"/>
        <v>1150.5046561782281</v>
      </c>
      <c r="K832" s="307">
        <f t="shared" ca="1" si="363"/>
        <v>2835.040124601046</v>
      </c>
      <c r="L832" s="304">
        <f t="shared" ca="1" si="348"/>
        <v>3059.5936775960458</v>
      </c>
      <c r="M832" s="306">
        <f t="shared" ca="1" si="364"/>
        <v>1.1329119687004074</v>
      </c>
      <c r="N832" s="304">
        <f t="shared" ca="1" si="365"/>
        <v>64.911074366390565</v>
      </c>
      <c r="P832" s="310">
        <f t="shared" ca="1" si="366"/>
        <v>23</v>
      </c>
      <c r="Q832" s="304">
        <f t="shared" ca="1" si="367"/>
        <v>0</v>
      </c>
      <c r="R832" s="306">
        <f t="shared" ca="1" si="368"/>
        <v>0</v>
      </c>
      <c r="S832" s="307">
        <f t="shared" ca="1" si="369"/>
        <v>15.089040186296437</v>
      </c>
      <c r="T832" s="304">
        <f t="shared" ca="1" si="349"/>
        <v>148.02348422756805</v>
      </c>
      <c r="U832" s="311">
        <f t="shared" ca="1" si="350"/>
        <v>0</v>
      </c>
      <c r="V832" s="306">
        <f t="shared" ca="1" si="351"/>
        <v>0.92082500107851639</v>
      </c>
      <c r="W832" s="304">
        <f t="shared" ca="1" si="352"/>
        <v>343.90860979771071</v>
      </c>
      <c r="Y832" s="314" t="str">
        <f t="shared" ca="1" si="370"/>
        <v/>
      </c>
      <c r="Z832" s="315" t="str">
        <f t="shared" ca="1" si="371"/>
        <v/>
      </c>
      <c r="AA832" s="316" t="str">
        <f t="shared" ca="1" si="372"/>
        <v/>
      </c>
      <c r="AC832" s="310" t="e">
        <f t="shared" ca="1" si="373"/>
        <v>#N/A</v>
      </c>
      <c r="AD832" s="323" t="e">
        <f t="shared" ca="1" si="374"/>
        <v>#N/A</v>
      </c>
      <c r="AE832" s="324">
        <f t="shared" ca="1" si="353"/>
        <v>2835.040124601046</v>
      </c>
      <c r="AG832" s="306">
        <f t="shared" ca="1" si="375"/>
        <v>-32.324078800976636</v>
      </c>
      <c r="AH832" s="304">
        <f t="shared" ca="1" si="376"/>
        <v>-23.432844581501399</v>
      </c>
    </row>
    <row r="833" spans="1:34" x14ac:dyDescent="0.2">
      <c r="A833" s="347">
        <f t="shared" ca="1" si="354"/>
        <v>0.1</v>
      </c>
      <c r="B833" s="304">
        <f t="shared" ca="1" si="355"/>
        <v>10.899999999999864</v>
      </c>
      <c r="D833" s="306">
        <f t="shared" ca="1" si="356"/>
        <v>-9.6643414148074189</v>
      </c>
      <c r="E833" s="307">
        <f t="shared" ca="1" si="357"/>
        <v>-30.451544757079937</v>
      </c>
      <c r="F833" s="304">
        <f t="shared" ca="1" si="358"/>
        <v>31.948334433494409</v>
      </c>
      <c r="G833" s="306">
        <f t="shared" ca="1" si="359"/>
        <v>106.36093274878883</v>
      </c>
      <c r="H833" s="307">
        <f t="shared" ca="1" si="360"/>
        <v>226.18957060660995</v>
      </c>
      <c r="I833" s="304">
        <f t="shared" ca="1" si="361"/>
        <v>249.94873447648212</v>
      </c>
      <c r="J833" s="306">
        <f t="shared" ca="1" si="362"/>
        <v>1161.1890711601809</v>
      </c>
      <c r="K833" s="307">
        <f t="shared" ca="1" si="363"/>
        <v>2857.8113393854924</v>
      </c>
      <c r="L833" s="304">
        <f t="shared" ca="1" si="348"/>
        <v>3084.7116089680321</v>
      </c>
      <c r="M833" s="306">
        <f t="shared" ca="1" si="364"/>
        <v>1.1312477549874134</v>
      </c>
      <c r="N833" s="304">
        <f t="shared" ca="1" si="365"/>
        <v>64.815721944428205</v>
      </c>
      <c r="P833" s="310">
        <f t="shared" ca="1" si="366"/>
        <v>23</v>
      </c>
      <c r="Q833" s="304">
        <f t="shared" ca="1" si="367"/>
        <v>0</v>
      </c>
      <c r="R833" s="306">
        <f t="shared" ca="1" si="368"/>
        <v>0</v>
      </c>
      <c r="S833" s="307">
        <f t="shared" ca="1" si="369"/>
        <v>15.089040186296437</v>
      </c>
      <c r="T833" s="304">
        <f t="shared" ca="1" si="349"/>
        <v>148.02348422756805</v>
      </c>
      <c r="U833" s="311">
        <f t="shared" ca="1" si="350"/>
        <v>0</v>
      </c>
      <c r="V833" s="306">
        <f t="shared" ca="1" si="351"/>
        <v>0.91868730551073474</v>
      </c>
      <c r="W833" s="304">
        <f t="shared" ca="1" si="352"/>
        <v>334.57713486036067</v>
      </c>
      <c r="Y833" s="314" t="str">
        <f t="shared" ca="1" si="370"/>
        <v/>
      </c>
      <c r="Z833" s="315" t="str">
        <f t="shared" ca="1" si="371"/>
        <v/>
      </c>
      <c r="AA833" s="316" t="str">
        <f t="shared" ca="1" si="372"/>
        <v/>
      </c>
      <c r="AC833" s="310" t="e">
        <f t="shared" ca="1" si="373"/>
        <v>#N/A</v>
      </c>
      <c r="AD833" s="323" t="e">
        <f t="shared" ca="1" si="374"/>
        <v>#N/A</v>
      </c>
      <c r="AE833" s="324">
        <f t="shared" ca="1" si="353"/>
        <v>2857.8113393854924</v>
      </c>
      <c r="AG833" s="306">
        <f t="shared" ca="1" si="375"/>
        <v>-31.676381454851459</v>
      </c>
      <c r="AH833" s="304">
        <f t="shared" ca="1" si="376"/>
        <v>-22.791947370518741</v>
      </c>
    </row>
    <row r="834" spans="1:34" x14ac:dyDescent="0.2">
      <c r="A834" s="347">
        <f t="shared" ca="1" si="354"/>
        <v>0.1</v>
      </c>
      <c r="B834" s="304">
        <f t="shared" ca="1" si="355"/>
        <v>10.999999999999863</v>
      </c>
      <c r="D834" s="306">
        <f t="shared" ca="1" si="356"/>
        <v>-9.4355199599207698</v>
      </c>
      <c r="E834" s="307">
        <f t="shared" ca="1" si="357"/>
        <v>-29.875790634098017</v>
      </c>
      <c r="F834" s="304">
        <f t="shared" ca="1" si="358"/>
        <v>31.330367104879606</v>
      </c>
      <c r="G834" s="306">
        <f t="shared" ca="1" si="359"/>
        <v>105.41738075279675</v>
      </c>
      <c r="H834" s="307">
        <f t="shared" ca="1" si="360"/>
        <v>223.20199154320014</v>
      </c>
      <c r="I834" s="304">
        <f t="shared" ca="1" si="361"/>
        <v>246.84398553262525</v>
      </c>
      <c r="J834" s="306">
        <f t="shared" ca="1" si="362"/>
        <v>1171.7779868352602</v>
      </c>
      <c r="K834" s="307">
        <f t="shared" ca="1" si="363"/>
        <v>2880.280917492983</v>
      </c>
      <c r="L834" s="304">
        <f t="shared" ca="1" si="348"/>
        <v>3109.5147232495806</v>
      </c>
      <c r="M834" s="306">
        <f t="shared" ca="1" si="364"/>
        <v>1.1295566216162101</v>
      </c>
      <c r="N834" s="304">
        <f t="shared" ca="1" si="365"/>
        <v>64.718827139664526</v>
      </c>
      <c r="P834" s="310">
        <f t="shared" ca="1" si="366"/>
        <v>23</v>
      </c>
      <c r="Q834" s="304">
        <f t="shared" ca="1" si="367"/>
        <v>0</v>
      </c>
      <c r="R834" s="306">
        <f t="shared" ca="1" si="368"/>
        <v>0</v>
      </c>
      <c r="S834" s="307">
        <f t="shared" ca="1" si="369"/>
        <v>15.089040186296437</v>
      </c>
      <c r="T834" s="304">
        <f t="shared" ca="1" si="349"/>
        <v>148.02348422756805</v>
      </c>
      <c r="U834" s="311">
        <f t="shared" ca="1" si="350"/>
        <v>0</v>
      </c>
      <c r="V834" s="306">
        <f t="shared" ca="1" si="351"/>
        <v>0.91658209755796061</v>
      </c>
      <c r="W834" s="304">
        <f t="shared" ca="1" si="352"/>
        <v>325.56906203870329</v>
      </c>
      <c r="Y834" s="314" t="str">
        <f t="shared" ca="1" si="370"/>
        <v/>
      </c>
      <c r="Z834" s="315" t="str">
        <f t="shared" ca="1" si="371"/>
        <v/>
      </c>
      <c r="AA834" s="316" t="str">
        <f t="shared" ca="1" si="372"/>
        <v/>
      </c>
      <c r="AC834" s="310">
        <f t="shared" ca="1" si="373"/>
        <v>10.999999999999863</v>
      </c>
      <c r="AD834" s="323">
        <f t="shared" ca="1" si="374"/>
        <v>1171.7779868352602</v>
      </c>
      <c r="AE834" s="324">
        <f t="shared" ca="1" si="353"/>
        <v>2880.280917492983</v>
      </c>
      <c r="AG834" s="306">
        <f t="shared" ca="1" si="375"/>
        <v>-31.051019222891291</v>
      </c>
      <c r="AH834" s="304">
        <f t="shared" ca="1" si="376"/>
        <v>-22.173520033714066</v>
      </c>
    </row>
    <row r="835" spans="1:34" x14ac:dyDescent="0.2">
      <c r="A835" s="347">
        <f t="shared" ca="1" si="354"/>
        <v>0.1</v>
      </c>
      <c r="B835" s="304">
        <f t="shared" ca="1" si="355"/>
        <v>11.099999999999863</v>
      </c>
      <c r="D835" s="306">
        <f t="shared" ca="1" si="356"/>
        <v>-9.2144874862755621</v>
      </c>
      <c r="E835" s="307">
        <f t="shared" ca="1" si="357"/>
        <v>-29.31998918109656</v>
      </c>
      <c r="F835" s="304">
        <f t="shared" ca="1" si="358"/>
        <v>30.733833884082021</v>
      </c>
      <c r="G835" s="306">
        <f t="shared" ca="1" si="359"/>
        <v>104.49593200416919</v>
      </c>
      <c r="H835" s="307">
        <f t="shared" ca="1" si="360"/>
        <v>220.26999262509048</v>
      </c>
      <c r="I835" s="304">
        <f t="shared" ca="1" si="361"/>
        <v>243.79965023862806</v>
      </c>
      <c r="J835" s="306">
        <f t="shared" ca="1" si="362"/>
        <v>1182.2736524731085</v>
      </c>
      <c r="K835" s="307">
        <f t="shared" ca="1" si="363"/>
        <v>2902.4545167013976</v>
      </c>
      <c r="L835" s="304">
        <f t="shared" ca="1" si="348"/>
        <v>3134.0091274360461</v>
      </c>
      <c r="M835" s="306">
        <f t="shared" ca="1" si="364"/>
        <v>1.1278382154820037</v>
      </c>
      <c r="N835" s="304">
        <f t="shared" ca="1" si="365"/>
        <v>64.620369720685119</v>
      </c>
      <c r="P835" s="310">
        <f t="shared" ca="1" si="366"/>
        <v>23</v>
      </c>
      <c r="Q835" s="304">
        <f t="shared" ca="1" si="367"/>
        <v>0</v>
      </c>
      <c r="R835" s="306">
        <f t="shared" ca="1" si="368"/>
        <v>0</v>
      </c>
      <c r="S835" s="307">
        <f t="shared" ca="1" si="369"/>
        <v>15.089040186296437</v>
      </c>
      <c r="T835" s="304">
        <f t="shared" ca="1" si="349"/>
        <v>148.02348422756805</v>
      </c>
      <c r="U835" s="311">
        <f t="shared" ca="1" si="350"/>
        <v>0</v>
      </c>
      <c r="V835" s="306">
        <f t="shared" ca="1" si="351"/>
        <v>0.91450866987934498</v>
      </c>
      <c r="W835" s="304">
        <f t="shared" ca="1" si="352"/>
        <v>316.869648165473</v>
      </c>
      <c r="Y835" s="314" t="str">
        <f t="shared" ca="1" si="370"/>
        <v/>
      </c>
      <c r="Z835" s="315" t="str">
        <f t="shared" ca="1" si="371"/>
        <v/>
      </c>
      <c r="AA835" s="316" t="str">
        <f t="shared" ca="1" si="372"/>
        <v/>
      </c>
      <c r="AC835" s="310" t="e">
        <f t="shared" ca="1" si="373"/>
        <v>#N/A</v>
      </c>
      <c r="AD835" s="323" t="e">
        <f t="shared" ca="1" si="374"/>
        <v>#N/A</v>
      </c>
      <c r="AE835" s="324">
        <f t="shared" ca="1" si="353"/>
        <v>2902.4545167013976</v>
      </c>
      <c r="AG835" s="306">
        <f t="shared" ca="1" si="375"/>
        <v>-30.446952542965995</v>
      </c>
      <c r="AH835" s="304">
        <f t="shared" ca="1" si="376"/>
        <v>-21.576525611905957</v>
      </c>
    </row>
    <row r="836" spans="1:34" x14ac:dyDescent="0.2">
      <c r="A836" s="347">
        <f t="shared" ca="1" si="354"/>
        <v>0.1</v>
      </c>
      <c r="B836" s="304">
        <f t="shared" ca="1" si="355"/>
        <v>11.199999999999863</v>
      </c>
      <c r="D836" s="306">
        <f t="shared" ca="1" si="356"/>
        <v>-9.0008874677928166</v>
      </c>
      <c r="E836" s="307">
        <f t="shared" ca="1" si="357"/>
        <v>-28.783230614095956</v>
      </c>
      <c r="F836" s="304">
        <f t="shared" ca="1" si="358"/>
        <v>30.157757539182196</v>
      </c>
      <c r="G836" s="306">
        <f t="shared" ca="1" si="359"/>
        <v>103.59584325738992</v>
      </c>
      <c r="H836" s="307">
        <f t="shared" ca="1" si="360"/>
        <v>217.39166956368089</v>
      </c>
      <c r="I836" s="304">
        <f t="shared" ca="1" si="361"/>
        <v>240.81369715174907</v>
      </c>
      <c r="J836" s="306">
        <f t="shared" ca="1" si="362"/>
        <v>1192.6782412361865</v>
      </c>
      <c r="K836" s="307">
        <f t="shared" ca="1" si="363"/>
        <v>2924.3375998108363</v>
      </c>
      <c r="L836" s="304">
        <f t="shared" ref="L836:L899" ca="1" si="377">SQRT(pos_x^2+pos_z^2)</f>
        <v>3158.2007195214246</v>
      </c>
      <c r="M836" s="306">
        <f t="shared" ca="1" si="364"/>
        <v>1.1260921748405581</v>
      </c>
      <c r="N836" s="304">
        <f t="shared" ca="1" si="365"/>
        <v>64.520328961071968</v>
      </c>
      <c r="P836" s="310">
        <f t="shared" ca="1" si="366"/>
        <v>23</v>
      </c>
      <c r="Q836" s="304">
        <f t="shared" ca="1" si="367"/>
        <v>0</v>
      </c>
      <c r="R836" s="306">
        <f t="shared" ca="1" si="368"/>
        <v>0</v>
      </c>
      <c r="S836" s="307">
        <f t="shared" ca="1" si="369"/>
        <v>15.089040186296437</v>
      </c>
      <c r="T836" s="304">
        <f t="shared" ref="T836:T899" ca="1" si="378">m*g</f>
        <v>148.02348422756805</v>
      </c>
      <c r="U836" s="311">
        <f t="shared" ref="U836:U899" ca="1" si="379">IF(pos_xz&lt;L_rampe,Poids*COS(Beta),0)</f>
        <v>0</v>
      </c>
      <c r="V836" s="306">
        <f t="shared" ref="V836:V899" ca="1" si="380">Rho_moyen*(20000-Alt_rampe-pos_z)/(20000+Alt_rampe+pos_z)</f>
        <v>0.91246634059360288</v>
      </c>
      <c r="W836" s="304">
        <f t="shared" ref="W836:W899" ca="1" si="381">1/2*Rho*Sref*Cx*vit_xz^2</f>
        <v>308.46499138852448</v>
      </c>
      <c r="Y836" s="314" t="str">
        <f t="shared" ca="1" si="370"/>
        <v/>
      </c>
      <c r="Z836" s="315" t="str">
        <f t="shared" ca="1" si="371"/>
        <v/>
      </c>
      <c r="AA836" s="316" t="str">
        <f t="shared" ca="1" si="372"/>
        <v/>
      </c>
      <c r="AC836" s="310" t="e">
        <f t="shared" ca="1" si="373"/>
        <v>#N/A</v>
      </c>
      <c r="AD836" s="323" t="e">
        <f t="shared" ca="1" si="374"/>
        <v>#N/A</v>
      </c>
      <c r="AE836" s="324">
        <f t="shared" ref="AE836:AE899" ca="1" si="382">IF(t&lt;T_para, pos_z, NA())</f>
        <v>2924.3375998108363</v>
      </c>
      <c r="AG836" s="306">
        <f t="shared" ca="1" si="375"/>
        <v>-29.863201660784398</v>
      </c>
      <c r="AH836" s="304">
        <f t="shared" ca="1" si="376"/>
        <v>-20.999987027223085</v>
      </c>
    </row>
    <row r="837" spans="1:34" x14ac:dyDescent="0.2">
      <c r="A837" s="347">
        <f t="shared" ref="A837:A900" ca="1" si="383">IF(B836+0.01&lt;=T_ini+ROUNDUP(Temps_fin_propu,0), 0.01, IF(K836&gt;0, 0.1, 0.0001))</f>
        <v>0.1</v>
      </c>
      <c r="B837" s="304">
        <f t="shared" ref="B837:B900" ca="1" si="384">B836+pas</f>
        <v>11.299999999999862</v>
      </c>
      <c r="D837" s="306">
        <f t="shared" ref="D837:D900" ca="1" si="385">IF(AND(L836&lt;L_rampe,Poussee&lt;Poids*SIN(M836)),0,(-W836+Poussee)/m*COS(M836)-U836/m*SIN(M836))</f>
        <v>-8.7943837220660246</v>
      </c>
      <c r="E837" s="307">
        <f t="shared" ref="E837:E900" ca="1" si="386">IF(AND(L836&lt;L_rampe,Poussee&lt;Poids*SIN(M836)),0,(-W836+Poussee)/m*SIN(M836)+U836/m*COS(M836)-Poids/m)</f>
        <v>-28.26465705968095</v>
      </c>
      <c r="F837" s="304">
        <f t="shared" ref="F837:F900" ca="1" si="387">SQRT(acc_x^2+acc_z^2)</f>
        <v>29.60121659243606</v>
      </c>
      <c r="G837" s="306">
        <f t="shared" ref="G837:G900" ca="1" si="388">G836+acc_x*pas</f>
        <v>102.71640488518331</v>
      </c>
      <c r="H837" s="307">
        <f t="shared" ref="H837:H900" ca="1" si="389">H836+acc_z*pas</f>
        <v>214.56520385771279</v>
      </c>
      <c r="I837" s="304">
        <f t="shared" ref="I837:I900" ca="1" si="390">SQRT(vit_x^2+vit_z^2)</f>
        <v>237.88418724042745</v>
      </c>
      <c r="J837" s="306">
        <f t="shared" ref="J837:J900" ca="1" si="391">J836+0.5*(vit_x+G836)*pas*(K836&gt;=0)</f>
        <v>1202.9938536433151</v>
      </c>
      <c r="K837" s="307">
        <f t="shared" ref="K837:K900" ca="1" si="392">K836+0.5*(vit_z+H836)*pas</f>
        <v>2945.9354434819061</v>
      </c>
      <c r="L837" s="304">
        <f t="shared" ca="1" si="377"/>
        <v>3182.0951979892948</v>
      </c>
      <c r="M837" s="306">
        <f t="shared" ref="M837:M900" ca="1" si="393">IF(AND(L836&gt;L_rampe,G837&gt;0),ATAN2(G837,H837),$M$4)</f>
        <v>1.1243181291318696</v>
      </c>
      <c r="N837" s="304">
        <f t="shared" ref="N837:N900" ca="1" si="394">DEGREES(Beta)</f>
        <v>64.418683629300816</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15.089040186296437</v>
      </c>
      <c r="T837" s="304">
        <f t="shared" ca="1" si="378"/>
        <v>148.02348422756805</v>
      </c>
      <c r="U837" s="311">
        <f t="shared" ca="1" si="379"/>
        <v>0</v>
      </c>
      <c r="V837" s="306">
        <f t="shared" ca="1" si="380"/>
        <v>0.91045445208332498</v>
      </c>
      <c r="W837" s="304">
        <f t="shared" ca="1" si="381"/>
        <v>300.34197390167901</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f t="shared" ca="1" si="382"/>
        <v>2945.9354434819061</v>
      </c>
      <c r="AG837" s="306">
        <f t="shared" ref="AG837:AG900" ca="1" si="404">IF(AND(L836&lt;L_rampe,Poussee&lt;Poids*SIN(M836)),0,(-W836+Poussee)/m-Poids*SIN(M836)/m)</f>
        <v>-29.298842503212526</v>
      </c>
      <c r="AH837" s="304">
        <f t="shared" ref="AH837:AH900" ca="1" si="405">IF(AND(L836&lt;L_rampe,Poussee&lt;Poids*SIN(M836)), g*SIN(M836), (-W836+Poussee)/m)</f>
        <v>-20.442982958496341</v>
      </c>
    </row>
    <row r="838" spans="1:34" x14ac:dyDescent="0.2">
      <c r="A838" s="347">
        <f t="shared" ca="1" si="383"/>
        <v>0.1</v>
      </c>
      <c r="B838" s="304">
        <f t="shared" ca="1" si="384"/>
        <v>11.399999999999862</v>
      </c>
      <c r="D838" s="306">
        <f t="shared" ca="1" si="385"/>
        <v>-8.5946590255789488</v>
      </c>
      <c r="E838" s="307">
        <f t="shared" ca="1" si="386"/>
        <v>-27.76345902119759</v>
      </c>
      <c r="F838" s="304">
        <f t="shared" ca="1" si="387"/>
        <v>29.063341524808941</v>
      </c>
      <c r="G838" s="306">
        <f t="shared" ca="1" si="388"/>
        <v>101.85693898262541</v>
      </c>
      <c r="H838" s="307">
        <f t="shared" ca="1" si="389"/>
        <v>211.78885795559302</v>
      </c>
      <c r="I838" s="304">
        <f t="shared" ca="1" si="390"/>
        <v>235.00926869603384</v>
      </c>
      <c r="J838" s="306">
        <f t="shared" ca="1" si="391"/>
        <v>1213.2225208367056</v>
      </c>
      <c r="K838" s="307">
        <f t="shared" ca="1" si="392"/>
        <v>2967.2531465725715</v>
      </c>
      <c r="L838" s="304">
        <f t="shared" ca="1" si="377"/>
        <v>3205.6980707655857</v>
      </c>
      <c r="M838" s="306">
        <f t="shared" ca="1" si="393"/>
        <v>1.1225156987982763</v>
      </c>
      <c r="N838" s="304">
        <f t="shared" ca="1" si="394"/>
        <v>64.31541197831956</v>
      </c>
      <c r="P838" s="310">
        <f t="shared" ca="1" si="395"/>
        <v>23</v>
      </c>
      <c r="Q838" s="304">
        <f t="shared" ca="1" si="396"/>
        <v>0</v>
      </c>
      <c r="R838" s="306">
        <f t="shared" ca="1" si="397"/>
        <v>0</v>
      </c>
      <c r="S838" s="307">
        <f t="shared" ca="1" si="398"/>
        <v>15.089040186296437</v>
      </c>
      <c r="T838" s="304">
        <f t="shared" ca="1" si="378"/>
        <v>148.02348422756805</v>
      </c>
      <c r="U838" s="311">
        <f t="shared" ca="1" si="379"/>
        <v>0</v>
      </c>
      <c r="V838" s="306">
        <f t="shared" ca="1" si="380"/>
        <v>0.90847236986902502</v>
      </c>
      <c r="W838" s="304">
        <f t="shared" ca="1" si="381"/>
        <v>292.48820919330183</v>
      </c>
      <c r="Y838" s="314" t="str">
        <f t="shared" ca="1" si="399"/>
        <v/>
      </c>
      <c r="Z838" s="315" t="str">
        <f t="shared" ca="1" si="400"/>
        <v/>
      </c>
      <c r="AA838" s="316" t="str">
        <f t="shared" ca="1" si="401"/>
        <v/>
      </c>
      <c r="AC838" s="310" t="e">
        <f t="shared" ca="1" si="402"/>
        <v>#N/A</v>
      </c>
      <c r="AD838" s="323" t="e">
        <f t="shared" ca="1" si="403"/>
        <v>#N/A</v>
      </c>
      <c r="AE838" s="324">
        <f t="shared" ca="1" si="382"/>
        <v>2967.2531465725715</v>
      </c>
      <c r="AG838" s="306">
        <f t="shared" ca="1" si="404"/>
        <v>-28.753002880712565</v>
      </c>
      <c r="AH838" s="304">
        <f t="shared" ca="1" si="405"/>
        <v>-19.904644045844847</v>
      </c>
    </row>
    <row r="839" spans="1:34" x14ac:dyDescent="0.2">
      <c r="A839" s="347">
        <f t="shared" ca="1" si="383"/>
        <v>0.1</v>
      </c>
      <c r="B839" s="304">
        <f t="shared" ca="1" si="384"/>
        <v>11.499999999999861</v>
      </c>
      <c r="D839" s="306">
        <f t="shared" ca="1" si="385"/>
        <v>-8.4014138381768309</v>
      </c>
      <c r="E839" s="307">
        <f t="shared" ca="1" si="386"/>
        <v>-27.278872123707757</v>
      </c>
      <c r="F839" s="304">
        <f t="shared" ca="1" si="387"/>
        <v>28.543311279911258</v>
      </c>
      <c r="G839" s="306">
        <f t="shared" ca="1" si="388"/>
        <v>101.01679759880773</v>
      </c>
      <c r="H839" s="307">
        <f t="shared" ca="1" si="389"/>
        <v>209.06097074322224</v>
      </c>
      <c r="I839" s="304">
        <f t="shared" ca="1" si="390"/>
        <v>232.18717209444821</v>
      </c>
      <c r="J839" s="306">
        <f t="shared" ca="1" si="391"/>
        <v>1223.3662076657772</v>
      </c>
      <c r="K839" s="307">
        <f t="shared" ca="1" si="392"/>
        <v>2988.2956380075125</v>
      </c>
      <c r="L839" s="304">
        <f t="shared" ca="1" si="377"/>
        <v>3229.0146636695954</v>
      </c>
      <c r="M839" s="306">
        <f t="shared" ca="1" si="393"/>
        <v>1.1206844950968953</v>
      </c>
      <c r="N839" s="304">
        <f t="shared" ca="1" si="394"/>
        <v>64.210491734801693</v>
      </c>
      <c r="P839" s="310">
        <f t="shared" ca="1" si="395"/>
        <v>23</v>
      </c>
      <c r="Q839" s="304">
        <f t="shared" ca="1" si="396"/>
        <v>0</v>
      </c>
      <c r="R839" s="306">
        <f t="shared" ca="1" si="397"/>
        <v>0</v>
      </c>
      <c r="S839" s="307">
        <f t="shared" ca="1" si="398"/>
        <v>15.089040186296437</v>
      </c>
      <c r="T839" s="304">
        <f t="shared" ca="1" si="378"/>
        <v>148.02348422756805</v>
      </c>
      <c r="U839" s="311">
        <f t="shared" ca="1" si="379"/>
        <v>0</v>
      </c>
      <c r="V839" s="306">
        <f t="shared" ca="1" si="380"/>
        <v>0.90651948154809048</v>
      </c>
      <c r="W839" s="304">
        <f t="shared" ca="1" si="381"/>
        <v>284.89199340849922</v>
      </c>
      <c r="Y839" s="314" t="str">
        <f t="shared" ca="1" si="399"/>
        <v/>
      </c>
      <c r="Z839" s="315" t="str">
        <f t="shared" ca="1" si="400"/>
        <v/>
      </c>
      <c r="AA839" s="316" t="str">
        <f t="shared" ca="1" si="401"/>
        <v/>
      </c>
      <c r="AC839" s="310" t="e">
        <f t="shared" ca="1" si="402"/>
        <v>#N/A</v>
      </c>
      <c r="AD839" s="323" t="e">
        <f t="shared" ca="1" si="403"/>
        <v>#N/A</v>
      </c>
      <c r="AE839" s="324">
        <f t="shared" ca="1" si="382"/>
        <v>2988.2956380075125</v>
      </c>
      <c r="AG839" s="306">
        <f t="shared" ca="1" si="404"/>
        <v>-28.224858989111162</v>
      </c>
      <c r="AH839" s="304">
        <f t="shared" ca="1" si="405"/>
        <v>-19.384149394666849</v>
      </c>
    </row>
    <row r="840" spans="1:34" x14ac:dyDescent="0.2">
      <c r="A840" s="347">
        <f t="shared" ca="1" si="383"/>
        <v>0.1</v>
      </c>
      <c r="B840" s="304">
        <f t="shared" ca="1" si="384"/>
        <v>11.599999999999861</v>
      </c>
      <c r="D840" s="306">
        <f t="shared" ca="1" si="385"/>
        <v>-8.2143651270184996</v>
      </c>
      <c r="E840" s="307">
        <f t="shared" ca="1" si="386"/>
        <v>-26.810174112765857</v>
      </c>
      <c r="F840" s="304">
        <f t="shared" ca="1" si="387"/>
        <v>28.040350040554024</v>
      </c>
      <c r="G840" s="306">
        <f t="shared" ca="1" si="388"/>
        <v>100.19536108610588</v>
      </c>
      <c r="H840" s="307">
        <f t="shared" ca="1" si="389"/>
        <v>206.37995333194564</v>
      </c>
      <c r="I840" s="304">
        <f t="shared" ca="1" si="390"/>
        <v>229.41620588021064</v>
      </c>
      <c r="J840" s="306">
        <f t="shared" ca="1" si="391"/>
        <v>1233.4268156000228</v>
      </c>
      <c r="K840" s="307">
        <f t="shared" ca="1" si="392"/>
        <v>3009.0676842112707</v>
      </c>
      <c r="L840" s="304">
        <f t="shared" ca="1" si="377"/>
        <v>3252.0501283968229</v>
      </c>
      <c r="M840" s="306">
        <f t="shared" ca="1" si="393"/>
        <v>1.1188241199062856</v>
      </c>
      <c r="N840" s="304">
        <f t="shared" ca="1" si="394"/>
        <v>64.103900088068926</v>
      </c>
      <c r="P840" s="310">
        <f t="shared" ca="1" si="395"/>
        <v>23</v>
      </c>
      <c r="Q840" s="304">
        <f t="shared" ca="1" si="396"/>
        <v>0</v>
      </c>
      <c r="R840" s="306">
        <f t="shared" ca="1" si="397"/>
        <v>0</v>
      </c>
      <c r="S840" s="307">
        <f t="shared" ca="1" si="398"/>
        <v>15.089040186296437</v>
      </c>
      <c r="T840" s="304">
        <f t="shared" ca="1" si="378"/>
        <v>148.02348422756805</v>
      </c>
      <c r="U840" s="311">
        <f t="shared" ca="1" si="379"/>
        <v>0</v>
      </c>
      <c r="V840" s="306">
        <f t="shared" ca="1" si="380"/>
        <v>0.90459519579420444</v>
      </c>
      <c r="W840" s="304">
        <f t="shared" ca="1" si="381"/>
        <v>277.54226046114906</v>
      </c>
      <c r="Y840" s="314" t="str">
        <f t="shared" ca="1" si="399"/>
        <v/>
      </c>
      <c r="Z840" s="315" t="str">
        <f t="shared" ca="1" si="400"/>
        <v/>
      </c>
      <c r="AA840" s="316" t="str">
        <f t="shared" ca="1" si="401"/>
        <v/>
      </c>
      <c r="AC840" s="310" t="e">
        <f t="shared" ca="1" si="402"/>
        <v>#N/A</v>
      </c>
      <c r="AD840" s="323" t="e">
        <f t="shared" ca="1" si="403"/>
        <v>#N/A</v>
      </c>
      <c r="AE840" s="324">
        <f t="shared" ca="1" si="382"/>
        <v>3009.0676842112707</v>
      </c>
      <c r="AG840" s="306">
        <f t="shared" ca="1" si="404"/>
        <v>-27.713632183912672</v>
      </c>
      <c r="AH840" s="304">
        <f t="shared" ca="1" si="405"/>
        <v>-18.88072335225354</v>
      </c>
    </row>
    <row r="841" spans="1:34" x14ac:dyDescent="0.2">
      <c r="A841" s="347">
        <f t="shared" ca="1" si="383"/>
        <v>0.1</v>
      </c>
      <c r="B841" s="304">
        <f t="shared" ca="1" si="384"/>
        <v>11.699999999999861</v>
      </c>
      <c r="D841" s="306">
        <f t="shared" ca="1" si="385"/>
        <v>-8.0332452812118547</v>
      </c>
      <c r="E841" s="307">
        <f t="shared" ca="1" si="386"/>
        <v>-26.356682084570842</v>
      </c>
      <c r="F841" s="304">
        <f t="shared" ca="1" si="387"/>
        <v>27.553724253814586</v>
      </c>
      <c r="G841" s="306">
        <f t="shared" ca="1" si="388"/>
        <v>99.392036557984696</v>
      </c>
      <c r="H841" s="307">
        <f t="shared" ca="1" si="389"/>
        <v>203.74428512348857</v>
      </c>
      <c r="I841" s="304">
        <f t="shared" ca="1" si="390"/>
        <v>226.69475214840145</v>
      </c>
      <c r="J841" s="306">
        <f t="shared" ca="1" si="391"/>
        <v>1243.4061854822273</v>
      </c>
      <c r="K841" s="307">
        <f t="shared" ca="1" si="392"/>
        <v>3029.5738961340426</v>
      </c>
      <c r="L841" s="304">
        <f t="shared" ca="1" si="377"/>
        <v>3274.809450064578</v>
      </c>
      <c r="M841" s="306">
        <f t="shared" ca="1" si="393"/>
        <v>1.1169341655272245</v>
      </c>
      <c r="N841" s="304">
        <f t="shared" ca="1" si="394"/>
        <v>63.995613678676449</v>
      </c>
      <c r="P841" s="310">
        <f t="shared" ca="1" si="395"/>
        <v>23</v>
      </c>
      <c r="Q841" s="304">
        <f t="shared" ca="1" si="396"/>
        <v>0</v>
      </c>
      <c r="R841" s="306">
        <f t="shared" ca="1" si="397"/>
        <v>0</v>
      </c>
      <c r="S841" s="307">
        <f t="shared" ca="1" si="398"/>
        <v>15.089040186296437</v>
      </c>
      <c r="T841" s="304">
        <f t="shared" ca="1" si="378"/>
        <v>148.02348422756805</v>
      </c>
      <c r="U841" s="311">
        <f t="shared" ca="1" si="379"/>
        <v>0</v>
      </c>
      <c r="V841" s="306">
        <f t="shared" ca="1" si="380"/>
        <v>0.90269894141313634</v>
      </c>
      <c r="W841" s="304">
        <f t="shared" ca="1" si="381"/>
        <v>270.42854056786507</v>
      </c>
      <c r="Y841" s="314" t="str">
        <f t="shared" ca="1" si="399"/>
        <v/>
      </c>
      <c r="Z841" s="315" t="str">
        <f t="shared" ca="1" si="400"/>
        <v/>
      </c>
      <c r="AA841" s="316" t="str">
        <f t="shared" ca="1" si="401"/>
        <v/>
      </c>
      <c r="AC841" s="310" t="e">
        <f t="shared" ca="1" si="402"/>
        <v>#N/A</v>
      </c>
      <c r="AD841" s="323" t="e">
        <f t="shared" ca="1" si="403"/>
        <v>#N/A</v>
      </c>
      <c r="AE841" s="324">
        <f t="shared" ca="1" si="382"/>
        <v>3029.5738961340426</v>
      </c>
      <c r="AG841" s="306">
        <f t="shared" ca="1" si="404"/>
        <v>-27.21858600304563</v>
      </c>
      <c r="AH841" s="304">
        <f t="shared" ca="1" si="405"/>
        <v>-18.393632532916662</v>
      </c>
    </row>
    <row r="842" spans="1:34" x14ac:dyDescent="0.2">
      <c r="A842" s="347">
        <f t="shared" ca="1" si="383"/>
        <v>0.1</v>
      </c>
      <c r="B842" s="304">
        <f t="shared" ca="1" si="384"/>
        <v>11.79999999999986</v>
      </c>
      <c r="D842" s="306">
        <f t="shared" ca="1" si="385"/>
        <v>-7.8578011092033107</v>
      </c>
      <c r="E842" s="307">
        <f t="shared" ca="1" si="386"/>
        <v>-25.917749927260836</v>
      </c>
      <c r="F842" s="304">
        <f t="shared" ca="1" si="387"/>
        <v>27.082739882881604</v>
      </c>
      <c r="G842" s="306">
        <f t="shared" ca="1" si="388"/>
        <v>98.606256447064368</v>
      </c>
      <c r="H842" s="307">
        <f t="shared" ca="1" si="389"/>
        <v>201.15251013076249</v>
      </c>
      <c r="I842" s="304">
        <f t="shared" ca="1" si="390"/>
        <v>224.02126270158092</v>
      </c>
      <c r="J842" s="306">
        <f t="shared" ca="1" si="391"/>
        <v>1253.3061001324797</v>
      </c>
      <c r="K842" s="307">
        <f t="shared" ca="1" si="392"/>
        <v>3049.8187358967552</v>
      </c>
      <c r="L842" s="304">
        <f t="shared" ca="1" si="377"/>
        <v>3297.2974543489654</v>
      </c>
      <c r="M842" s="306">
        <f t="shared" ca="1" si="393"/>
        <v>1.1150142144774837</v>
      </c>
      <c r="N842" s="304">
        <f t="shared" ca="1" si="394"/>
        <v>63.885608586654591</v>
      </c>
      <c r="P842" s="310">
        <f t="shared" ca="1" si="395"/>
        <v>23</v>
      </c>
      <c r="Q842" s="304">
        <f t="shared" ca="1" si="396"/>
        <v>0</v>
      </c>
      <c r="R842" s="306">
        <f t="shared" ca="1" si="397"/>
        <v>0</v>
      </c>
      <c r="S842" s="307">
        <f t="shared" ca="1" si="398"/>
        <v>15.089040186296437</v>
      </c>
      <c r="T842" s="304">
        <f t="shared" ca="1" si="378"/>
        <v>148.02348422756805</v>
      </c>
      <c r="U842" s="311">
        <f t="shared" ca="1" si="379"/>
        <v>0</v>
      </c>
      <c r="V842" s="306">
        <f t="shared" ca="1" si="380"/>
        <v>0.90083016645113989</v>
      </c>
      <c r="W842" s="304">
        <f t="shared" ca="1" si="381"/>
        <v>263.54092190799781</v>
      </c>
      <c r="Y842" s="314" t="str">
        <f t="shared" ca="1" si="399"/>
        <v/>
      </c>
      <c r="Z842" s="315" t="str">
        <f t="shared" ca="1" si="400"/>
        <v/>
      </c>
      <c r="AA842" s="316" t="str">
        <f t="shared" ca="1" si="401"/>
        <v/>
      </c>
      <c r="AC842" s="310" t="e">
        <f t="shared" ca="1" si="402"/>
        <v>#N/A</v>
      </c>
      <c r="AD842" s="323" t="e">
        <f t="shared" ca="1" si="403"/>
        <v>#N/A</v>
      </c>
      <c r="AE842" s="324">
        <f t="shared" ca="1" si="382"/>
        <v>3049.8187358967552</v>
      </c>
      <c r="AG842" s="306">
        <f t="shared" ca="1" si="404"/>
        <v>-26.739023416308747</v>
      </c>
      <c r="AH842" s="304">
        <f t="shared" ca="1" si="405"/>
        <v>-17.922183069898828</v>
      </c>
    </row>
    <row r="843" spans="1:34" x14ac:dyDescent="0.2">
      <c r="A843" s="347">
        <f t="shared" ca="1" si="383"/>
        <v>0.1</v>
      </c>
      <c r="B843" s="304">
        <f t="shared" ca="1" si="384"/>
        <v>11.89999999999986</v>
      </c>
      <c r="D843" s="306">
        <f t="shared" ca="1" si="385"/>
        <v>-7.6877929117655519</v>
      </c>
      <c r="E843" s="307">
        <f t="shared" ca="1" si="386"/>
        <v>-25.492765955092331</v>
      </c>
      <c r="F843" s="304">
        <f t="shared" ca="1" si="387"/>
        <v>26.626739866068984</v>
      </c>
      <c r="G843" s="306">
        <f t="shared" ca="1" si="388"/>
        <v>97.837477155887811</v>
      </c>
      <c r="H843" s="307">
        <f t="shared" ca="1" si="389"/>
        <v>198.60323353525325</v>
      </c>
      <c r="I843" s="304">
        <f t="shared" ca="1" si="390"/>
        <v>221.39425536108027</v>
      </c>
      <c r="J843" s="306">
        <f t="shared" ca="1" si="391"/>
        <v>1263.1282868126273</v>
      </c>
      <c r="K843" s="307">
        <f t="shared" ca="1" si="392"/>
        <v>3069.8065230800562</v>
      </c>
      <c r="L843" s="304">
        <f t="shared" ca="1" si="377"/>
        <v>3319.5188142396582</v>
      </c>
      <c r="M843" s="306">
        <f t="shared" ca="1" si="393"/>
        <v>1.1130638392804932</v>
      </c>
      <c r="N843" s="304">
        <f t="shared" ca="1" si="394"/>
        <v>63.773860319400043</v>
      </c>
      <c r="P843" s="310">
        <f t="shared" ca="1" si="395"/>
        <v>23</v>
      </c>
      <c r="Q843" s="304">
        <f t="shared" ca="1" si="396"/>
        <v>0</v>
      </c>
      <c r="R843" s="306">
        <f t="shared" ca="1" si="397"/>
        <v>0</v>
      </c>
      <c r="S843" s="307">
        <f t="shared" ca="1" si="398"/>
        <v>15.089040186296437</v>
      </c>
      <c r="T843" s="304">
        <f t="shared" ca="1" si="378"/>
        <v>148.02348422756805</v>
      </c>
      <c r="U843" s="311">
        <f t="shared" ca="1" si="379"/>
        <v>0</v>
      </c>
      <c r="V843" s="306">
        <f t="shared" ca="1" si="380"/>
        <v>0.89898833735247119</v>
      </c>
      <c r="W843" s="304">
        <f t="shared" ca="1" si="381"/>
        <v>256.87001514232264</v>
      </c>
      <c r="Y843" s="314" t="str">
        <f t="shared" ca="1" si="399"/>
        <v/>
      </c>
      <c r="Z843" s="315" t="str">
        <f t="shared" ca="1" si="400"/>
        <v/>
      </c>
      <c r="AA843" s="316" t="str">
        <f t="shared" ca="1" si="401"/>
        <v/>
      </c>
      <c r="AC843" s="310" t="e">
        <f t="shared" ca="1" si="402"/>
        <v>#N/A</v>
      </c>
      <c r="AD843" s="323" t="e">
        <f t="shared" ca="1" si="403"/>
        <v>#N/A</v>
      </c>
      <c r="AE843" s="324">
        <f t="shared" ca="1" si="382"/>
        <v>3069.8065230800562</v>
      </c>
      <c r="AG843" s="306">
        <f t="shared" ca="1" si="404"/>
        <v>-26.274284281903601</v>
      </c>
      <c r="AH843" s="304">
        <f t="shared" ca="1" si="405"/>
        <v>-17.465718074456479</v>
      </c>
    </row>
    <row r="844" spans="1:34" x14ac:dyDescent="0.2">
      <c r="A844" s="347">
        <f t="shared" ca="1" si="383"/>
        <v>0.1</v>
      </c>
      <c r="B844" s="304">
        <f t="shared" ca="1" si="384"/>
        <v>11.99999999999986</v>
      </c>
      <c r="D844" s="306">
        <f t="shared" ca="1" si="385"/>
        <v>-7.5229936241184259</v>
      </c>
      <c r="E844" s="307">
        <f t="shared" ca="1" si="386"/>
        <v>-25.081150719007468</v>
      </c>
      <c r="F844" s="304">
        <f t="shared" ca="1" si="387"/>
        <v>26.185101765280489</v>
      </c>
      <c r="G844" s="306">
        <f t="shared" ca="1" si="388"/>
        <v>97.085177793475964</v>
      </c>
      <c r="H844" s="307">
        <f t="shared" ca="1" si="389"/>
        <v>196.09511846335249</v>
      </c>
      <c r="I844" s="304">
        <f t="shared" ca="1" si="390"/>
        <v>218.81231051370736</v>
      </c>
      <c r="J844" s="306">
        <f t="shared" ca="1" si="391"/>
        <v>1272.8744195600955</v>
      </c>
      <c r="K844" s="307">
        <f t="shared" ca="1" si="392"/>
        <v>3089.5414406799864</v>
      </c>
      <c r="L844" s="304">
        <f t="shared" ca="1" si="377"/>
        <v>3341.4780564369139</v>
      </c>
      <c r="M844" s="306">
        <f t="shared" ca="1" si="393"/>
        <v>1.1110826022477696</v>
      </c>
      <c r="N844" s="304">
        <f t="shared" ca="1" si="394"/>
        <v>63.660343799209947</v>
      </c>
      <c r="P844" s="310">
        <f t="shared" ca="1" si="395"/>
        <v>23</v>
      </c>
      <c r="Q844" s="304">
        <f t="shared" ca="1" si="396"/>
        <v>0</v>
      </c>
      <c r="R844" s="306">
        <f t="shared" ca="1" si="397"/>
        <v>0</v>
      </c>
      <c r="S844" s="307">
        <f t="shared" ca="1" si="398"/>
        <v>15.089040186296437</v>
      </c>
      <c r="T844" s="304">
        <f t="shared" ca="1" si="378"/>
        <v>148.02348422756805</v>
      </c>
      <c r="U844" s="311">
        <f t="shared" ca="1" si="379"/>
        <v>0</v>
      </c>
      <c r="V844" s="306">
        <f t="shared" ca="1" si="380"/>
        <v>0.8971729381628184</v>
      </c>
      <c r="W844" s="304">
        <f t="shared" ca="1" si="381"/>
        <v>250.40692054858641</v>
      </c>
      <c r="Y844" s="314" t="str">
        <f t="shared" ca="1" si="399"/>
        <v/>
      </c>
      <c r="Z844" s="315" t="str">
        <f t="shared" ca="1" si="400"/>
        <v/>
      </c>
      <c r="AA844" s="316" t="str">
        <f t="shared" ca="1" si="401"/>
        <v/>
      </c>
      <c r="AC844" s="310">
        <f t="shared" ca="1" si="402"/>
        <v>11.99999999999986</v>
      </c>
      <c r="AD844" s="323">
        <f t="shared" ca="1" si="403"/>
        <v>1272.8744195600955</v>
      </c>
      <c r="AE844" s="324">
        <f t="shared" ca="1" si="382"/>
        <v>3089.5414406799864</v>
      </c>
      <c r="AG844" s="306">
        <f t="shared" ca="1" si="404"/>
        <v>-25.823742992333102</v>
      </c>
      <c r="AH844" s="304">
        <f t="shared" ca="1" si="405"/>
        <v>-17.023615284397401</v>
      </c>
    </row>
    <row r="845" spans="1:34" x14ac:dyDescent="0.2">
      <c r="A845" s="347">
        <f t="shared" ca="1" si="383"/>
        <v>0.1</v>
      </c>
      <c r="B845" s="304">
        <f t="shared" ca="1" si="384"/>
        <v>12.099999999999859</v>
      </c>
      <c r="D845" s="306">
        <f t="shared" ca="1" si="385"/>
        <v>-7.3631880213349952</v>
      </c>
      <c r="E845" s="307">
        <f t="shared" ca="1" si="386"/>
        <v>-24.682354978667526</v>
      </c>
      <c r="F845" s="304">
        <f t="shared" ca="1" si="387"/>
        <v>25.757235587898109</v>
      </c>
      <c r="G845" s="306">
        <f t="shared" ca="1" si="388"/>
        <v>96.348858991342468</v>
      </c>
      <c r="H845" s="307">
        <f t="shared" ca="1" si="389"/>
        <v>193.62688296548575</v>
      </c>
      <c r="I845" s="304">
        <f t="shared" ca="1" si="390"/>
        <v>216.27406787653371</v>
      </c>
      <c r="J845" s="306">
        <f t="shared" ca="1" si="391"/>
        <v>1282.5461213993365</v>
      </c>
      <c r="K845" s="307">
        <f t="shared" ca="1" si="392"/>
        <v>3109.0275407514282</v>
      </c>
      <c r="L845" s="304">
        <f t="shared" ca="1" si="377"/>
        <v>3363.1795674134551</v>
      </c>
      <c r="M845" s="306">
        <f t="shared" ca="1" si="393"/>
        <v>1.1090700552549875</v>
      </c>
      <c r="N845" s="304">
        <f t="shared" ca="1" si="394"/>
        <v>63.545033350451789</v>
      </c>
      <c r="P845" s="310">
        <f t="shared" ca="1" si="395"/>
        <v>23</v>
      </c>
      <c r="Q845" s="304">
        <f t="shared" ca="1" si="396"/>
        <v>0</v>
      </c>
      <c r="R845" s="306">
        <f t="shared" ca="1" si="397"/>
        <v>0</v>
      </c>
      <c r="S845" s="307">
        <f t="shared" ca="1" si="398"/>
        <v>15.089040186296437</v>
      </c>
      <c r="T845" s="304">
        <f t="shared" ca="1" si="378"/>
        <v>148.02348422756805</v>
      </c>
      <c r="U845" s="311">
        <f t="shared" ca="1" si="379"/>
        <v>0</v>
      </c>
      <c r="V845" s="306">
        <f t="shared" ca="1" si="380"/>
        <v>0.89538346977566885</v>
      </c>
      <c r="W845" s="304">
        <f t="shared" ca="1" si="381"/>
        <v>244.14319755491996</v>
      </c>
      <c r="Y845" s="314" t="str">
        <f t="shared" ca="1" si="399"/>
        <v/>
      </c>
      <c r="Z845" s="315" t="str">
        <f t="shared" ca="1" si="400"/>
        <v/>
      </c>
      <c r="AA845" s="316" t="str">
        <f t="shared" ca="1" si="401"/>
        <v/>
      </c>
      <c r="AC845" s="310" t="e">
        <f t="shared" ca="1" si="402"/>
        <v>#N/A</v>
      </c>
      <c r="AD845" s="323" t="e">
        <f t="shared" ca="1" si="403"/>
        <v>#N/A</v>
      </c>
      <c r="AE845" s="324">
        <f t="shared" ca="1" si="382"/>
        <v>3109.0275407514282</v>
      </c>
      <c r="AG845" s="306">
        <f t="shared" ca="1" si="404"/>
        <v>-25.386806293636027</v>
      </c>
      <c r="AH845" s="304">
        <f t="shared" ca="1" si="405"/>
        <v>-16.595284886046031</v>
      </c>
    </row>
    <row r="846" spans="1:34" x14ac:dyDescent="0.2">
      <c r="A846" s="347">
        <f t="shared" ca="1" si="383"/>
        <v>0.1</v>
      </c>
      <c r="B846" s="304">
        <f t="shared" ca="1" si="384"/>
        <v>12.199999999999859</v>
      </c>
      <c r="D846" s="306">
        <f t="shared" ca="1" si="385"/>
        <v>-7.2081719817370145</v>
      </c>
      <c r="E846" s="307">
        <f t="shared" ca="1" si="386"/>
        <v>-24.295857822439789</v>
      </c>
      <c r="F846" s="304">
        <f t="shared" ca="1" si="387"/>
        <v>25.342581767580572</v>
      </c>
      <c r="G846" s="306">
        <f t="shared" ca="1" si="388"/>
        <v>95.628041793168762</v>
      </c>
      <c r="H846" s="307">
        <f t="shared" ca="1" si="389"/>
        <v>191.19729718324177</v>
      </c>
      <c r="I846" s="304">
        <f t="shared" ca="1" si="390"/>
        <v>213.77822346388066</v>
      </c>
      <c r="J846" s="306">
        <f t="shared" ca="1" si="391"/>
        <v>1292.1449664385621</v>
      </c>
      <c r="K846" s="307">
        <f t="shared" ca="1" si="392"/>
        <v>3128.2687497588645</v>
      </c>
      <c r="L846" s="304">
        <f t="shared" ca="1" si="377"/>
        <v>3384.6275991621887</v>
      </c>
      <c r="M846" s="306">
        <f t="shared" ca="1" si="393"/>
        <v>1.107025739511573</v>
      </c>
      <c r="N846" s="304">
        <f t="shared" ca="1" si="394"/>
        <v>63.427902686361996</v>
      </c>
      <c r="P846" s="310">
        <f t="shared" ca="1" si="395"/>
        <v>23</v>
      </c>
      <c r="Q846" s="304">
        <f t="shared" ca="1" si="396"/>
        <v>0</v>
      </c>
      <c r="R846" s="306">
        <f t="shared" ca="1" si="397"/>
        <v>0</v>
      </c>
      <c r="S846" s="307">
        <f t="shared" ca="1" si="398"/>
        <v>15.089040186296437</v>
      </c>
      <c r="T846" s="304">
        <f t="shared" ca="1" si="378"/>
        <v>148.02348422756805</v>
      </c>
      <c r="U846" s="311">
        <f t="shared" ca="1" si="379"/>
        <v>0</v>
      </c>
      <c r="V846" s="306">
        <f t="shared" ca="1" si="380"/>
        <v>0.8936194492188646</v>
      </c>
      <c r="W846" s="304">
        <f t="shared" ca="1" si="381"/>
        <v>238.07083647257721</v>
      </c>
      <c r="Y846" s="314" t="str">
        <f t="shared" ca="1" si="399"/>
        <v/>
      </c>
      <c r="Z846" s="315" t="str">
        <f t="shared" ca="1" si="400"/>
        <v/>
      </c>
      <c r="AA846" s="316" t="str">
        <f t="shared" ca="1" si="401"/>
        <v/>
      </c>
      <c r="AC846" s="310" t="e">
        <f t="shared" ca="1" si="402"/>
        <v>#N/A</v>
      </c>
      <c r="AD846" s="323" t="e">
        <f t="shared" ca="1" si="403"/>
        <v>#N/A</v>
      </c>
      <c r="AE846" s="324">
        <f t="shared" ca="1" si="382"/>
        <v>3128.2687497588645</v>
      </c>
      <c r="AG846" s="306">
        <f t="shared" ca="1" si="404"/>
        <v>-24.962911263441136</v>
      </c>
      <c r="AH846" s="304">
        <f t="shared" ca="1" si="405"/>
        <v>-16.180167495123111</v>
      </c>
    </row>
    <row r="847" spans="1:34" x14ac:dyDescent="0.2">
      <c r="A847" s="347">
        <f t="shared" ca="1" si="383"/>
        <v>0.1</v>
      </c>
      <c r="B847" s="304">
        <f t="shared" ca="1" si="384"/>
        <v>12.299999999999859</v>
      </c>
      <c r="D847" s="306">
        <f t="shared" ca="1" si="385"/>
        <v>-7.0577518034787134</v>
      </c>
      <c r="E847" s="307">
        <f t="shared" ca="1" si="386"/>
        <v>-23.921164923087204</v>
      </c>
      <c r="F847" s="304">
        <f t="shared" ca="1" si="387"/>
        <v>24.940609290814141</v>
      </c>
      <c r="G847" s="306">
        <f t="shared" ca="1" si="388"/>
        <v>94.922266612820891</v>
      </c>
      <c r="H847" s="307">
        <f t="shared" ca="1" si="389"/>
        <v>188.80518069093304</v>
      </c>
      <c r="I847" s="304">
        <f t="shared" ca="1" si="390"/>
        <v>211.32352674193976</v>
      </c>
      <c r="J847" s="306">
        <f t="shared" ca="1" si="391"/>
        <v>1301.6724818588616</v>
      </c>
      <c r="K847" s="307">
        <f t="shared" ca="1" si="392"/>
        <v>3147.2688736525733</v>
      </c>
      <c r="L847" s="304">
        <f t="shared" ca="1" si="377"/>
        <v>3405.8262746492142</v>
      </c>
      <c r="M847" s="306">
        <f t="shared" ca="1" si="393"/>
        <v>1.1049491853236884</v>
      </c>
      <c r="N847" s="304">
        <f t="shared" ca="1" si="394"/>
        <v>63.308924895465985</v>
      </c>
      <c r="P847" s="310">
        <f t="shared" ca="1" si="395"/>
        <v>23</v>
      </c>
      <c r="Q847" s="304">
        <f t="shared" ca="1" si="396"/>
        <v>0</v>
      </c>
      <c r="R847" s="306">
        <f t="shared" ca="1" si="397"/>
        <v>0</v>
      </c>
      <c r="S847" s="307">
        <f t="shared" ca="1" si="398"/>
        <v>15.089040186296437</v>
      </c>
      <c r="T847" s="304">
        <f t="shared" ca="1" si="378"/>
        <v>148.02348422756805</v>
      </c>
      <c r="U847" s="311">
        <f t="shared" ca="1" si="379"/>
        <v>0</v>
      </c>
      <c r="V847" s="306">
        <f t="shared" ca="1" si="380"/>
        <v>0.89188040897880405</v>
      </c>
      <c r="W847" s="304">
        <f t="shared" ca="1" si="381"/>
        <v>232.18223224782196</v>
      </c>
      <c r="Y847" s="314" t="str">
        <f t="shared" ca="1" si="399"/>
        <v/>
      </c>
      <c r="Z847" s="315" t="str">
        <f t="shared" ca="1" si="400"/>
        <v/>
      </c>
      <c r="AA847" s="316" t="str">
        <f t="shared" ca="1" si="401"/>
        <v/>
      </c>
      <c r="AC847" s="310" t="e">
        <f t="shared" ca="1" si="402"/>
        <v>#N/A</v>
      </c>
      <c r="AD847" s="323" t="e">
        <f t="shared" ca="1" si="403"/>
        <v>#N/A</v>
      </c>
      <c r="AE847" s="324">
        <f t="shared" ca="1" si="382"/>
        <v>3147.2688736525733</v>
      </c>
      <c r="AG847" s="306">
        <f t="shared" ca="1" si="404"/>
        <v>-24.551523434679968</v>
      </c>
      <c r="AH847" s="304">
        <f t="shared" ca="1" si="405"/>
        <v>-15.777732283381972</v>
      </c>
    </row>
    <row r="848" spans="1:34" x14ac:dyDescent="0.2">
      <c r="A848" s="347">
        <f t="shared" ca="1" si="383"/>
        <v>0.1</v>
      </c>
      <c r="B848" s="304">
        <f t="shared" ca="1" si="384"/>
        <v>12.399999999999858</v>
      </c>
      <c r="D848" s="306">
        <f t="shared" ca="1" si="385"/>
        <v>-6.9117435699618364</v>
      </c>
      <c r="E848" s="307">
        <f t="shared" ca="1" si="386"/>
        <v>-23.557806918042765</v>
      </c>
      <c r="F848" s="304">
        <f t="shared" ca="1" si="387"/>
        <v>24.550813957274254</v>
      </c>
      <c r="G848" s="306">
        <f t="shared" ca="1" si="388"/>
        <v>94.231092255824706</v>
      </c>
      <c r="H848" s="307">
        <f t="shared" ca="1" si="389"/>
        <v>186.44939999912876</v>
      </c>
      <c r="I848" s="304">
        <f t="shared" ca="1" si="390"/>
        <v>208.90877795765513</v>
      </c>
      <c r="J848" s="306">
        <f t="shared" ca="1" si="391"/>
        <v>1311.1301498022938</v>
      </c>
      <c r="K848" s="307">
        <f t="shared" ca="1" si="392"/>
        <v>3166.0316026870764</v>
      </c>
      <c r="L848" s="304">
        <f t="shared" ca="1" si="377"/>
        <v>3426.7795929901713</v>
      </c>
      <c r="M848" s="306">
        <f t="shared" ca="1" si="393"/>
        <v>1.1028399118504828</v>
      </c>
      <c r="N848" s="304">
        <f t="shared" ca="1" si="394"/>
        <v>63.188072427612404</v>
      </c>
      <c r="P848" s="310">
        <f t="shared" ca="1" si="395"/>
        <v>23</v>
      </c>
      <c r="Q848" s="304">
        <f t="shared" ca="1" si="396"/>
        <v>0</v>
      </c>
      <c r="R848" s="306">
        <f t="shared" ca="1" si="397"/>
        <v>0</v>
      </c>
      <c r="S848" s="307">
        <f t="shared" ca="1" si="398"/>
        <v>15.089040186296437</v>
      </c>
      <c r="T848" s="304">
        <f t="shared" ca="1" si="378"/>
        <v>148.02348422756805</v>
      </c>
      <c r="U848" s="311">
        <f t="shared" ca="1" si="379"/>
        <v>0</v>
      </c>
      <c r="V848" s="306">
        <f t="shared" ca="1" si="380"/>
        <v>0.89016589635992693</v>
      </c>
      <c r="W848" s="304">
        <f t="shared" ca="1" si="381"/>
        <v>226.47016006925776</v>
      </c>
      <c r="Y848" s="314" t="str">
        <f t="shared" ca="1" si="399"/>
        <v/>
      </c>
      <c r="Z848" s="315" t="str">
        <f t="shared" ca="1" si="400"/>
        <v/>
      </c>
      <c r="AA848" s="316" t="str">
        <f t="shared" ca="1" si="401"/>
        <v/>
      </c>
      <c r="AC848" s="310" t="e">
        <f t="shared" ca="1" si="402"/>
        <v>#N/A</v>
      </c>
      <c r="AD848" s="323" t="e">
        <f t="shared" ca="1" si="403"/>
        <v>#N/A</v>
      </c>
      <c r="AE848" s="324">
        <f t="shared" ca="1" si="382"/>
        <v>3166.0316026870764</v>
      </c>
      <c r="AG848" s="306">
        <f t="shared" ca="1" si="404"/>
        <v>-24.152135053014</v>
      </c>
      <c r="AH848" s="304">
        <f t="shared" ca="1" si="405"/>
        <v>-15.387475239060281</v>
      </c>
    </row>
    <row r="849" spans="1:34" x14ac:dyDescent="0.2">
      <c r="A849" s="347">
        <f t="shared" ca="1" si="383"/>
        <v>0.1</v>
      </c>
      <c r="B849" s="304">
        <f t="shared" ca="1" si="384"/>
        <v>12.499999999999858</v>
      </c>
      <c r="D849" s="306">
        <f t="shared" ca="1" si="385"/>
        <v>-6.7699725601232492</v>
      </c>
      <c r="E849" s="307">
        <f t="shared" ca="1" si="386"/>
        <v>-23.205337904167415</v>
      </c>
      <c r="F849" s="304">
        <f t="shared" ca="1" si="387"/>
        <v>24.17271676314871</v>
      </c>
      <c r="G849" s="306">
        <f t="shared" ca="1" si="388"/>
        <v>93.554094999812378</v>
      </c>
      <c r="H849" s="307">
        <f t="shared" ca="1" si="389"/>
        <v>184.12886620871203</v>
      </c>
      <c r="I849" s="304">
        <f t="shared" ca="1" si="390"/>
        <v>206.5328256295829</v>
      </c>
      <c r="J849" s="306">
        <f t="shared" ca="1" si="391"/>
        <v>1320.5194091650756</v>
      </c>
      <c r="K849" s="307">
        <f t="shared" ca="1" si="392"/>
        <v>3184.5605159974684</v>
      </c>
      <c r="L849" s="304">
        <f t="shared" ca="1" si="377"/>
        <v>3447.4914343666965</v>
      </c>
      <c r="M849" s="306">
        <f t="shared" ca="1" si="393"/>
        <v>1.1006974268534762</v>
      </c>
      <c r="N849" s="304">
        <f t="shared" ca="1" si="394"/>
        <v>63.065317079613827</v>
      </c>
      <c r="P849" s="310">
        <f t="shared" ca="1" si="395"/>
        <v>23</v>
      </c>
      <c r="Q849" s="304">
        <f t="shared" ca="1" si="396"/>
        <v>0</v>
      </c>
      <c r="R849" s="306">
        <f t="shared" ca="1" si="397"/>
        <v>0</v>
      </c>
      <c r="S849" s="307">
        <f t="shared" ca="1" si="398"/>
        <v>15.089040186296437</v>
      </c>
      <c r="T849" s="304">
        <f t="shared" ca="1" si="378"/>
        <v>148.02348422756805</v>
      </c>
      <c r="U849" s="311">
        <f t="shared" ca="1" si="379"/>
        <v>0</v>
      </c>
      <c r="V849" s="306">
        <f t="shared" ca="1" si="380"/>
        <v>0.88847547287729445</v>
      </c>
      <c r="W849" s="304">
        <f t="shared" ca="1" si="381"/>
        <v>220.92775268172269</v>
      </c>
      <c r="Y849" s="314" t="str">
        <f t="shared" ca="1" si="399"/>
        <v/>
      </c>
      <c r="Z849" s="315" t="str">
        <f t="shared" ca="1" si="400"/>
        <v/>
      </c>
      <c r="AA849" s="316" t="str">
        <f t="shared" ca="1" si="401"/>
        <v/>
      </c>
      <c r="AC849" s="310" t="e">
        <f t="shared" ca="1" si="402"/>
        <v>#N/A</v>
      </c>
      <c r="AD849" s="323" t="e">
        <f t="shared" ca="1" si="403"/>
        <v>#N/A</v>
      </c>
      <c r="AE849" s="324">
        <f t="shared" ca="1" si="382"/>
        <v>3184.5605159974684</v>
      </c>
      <c r="AG849" s="306">
        <f t="shared" ca="1" si="404"/>
        <v>-23.764263457123494</v>
      </c>
      <c r="AH849" s="304">
        <f t="shared" ca="1" si="405"/>
        <v>-15.00891755029809</v>
      </c>
    </row>
    <row r="850" spans="1:34" x14ac:dyDescent="0.2">
      <c r="A850" s="347">
        <f t="shared" ca="1" si="383"/>
        <v>0.1</v>
      </c>
      <c r="B850" s="304">
        <f t="shared" ca="1" si="384"/>
        <v>12.599999999999858</v>
      </c>
      <c r="D850" s="306">
        <f t="shared" ca="1" si="385"/>
        <v>-6.632272699995057</v>
      </c>
      <c r="E850" s="307">
        <f t="shared" ca="1" si="386"/>
        <v>-22.86333403780489</v>
      </c>
      <c r="F850" s="304">
        <f t="shared" ca="1" si="387"/>
        <v>23.805862397555511</v>
      </c>
      <c r="G850" s="306">
        <f t="shared" ca="1" si="388"/>
        <v>92.890867729812868</v>
      </c>
      <c r="H850" s="307">
        <f t="shared" ca="1" si="389"/>
        <v>181.84253280493152</v>
      </c>
      <c r="I850" s="304">
        <f t="shared" ca="1" si="390"/>
        <v>204.19456418942738</v>
      </c>
      <c r="J850" s="306">
        <f t="shared" ca="1" si="391"/>
        <v>1329.8416573015568</v>
      </c>
      <c r="K850" s="307">
        <f t="shared" ca="1" si="392"/>
        <v>3202.8590859481506</v>
      </c>
      <c r="L850" s="304">
        <f t="shared" ca="1" si="377"/>
        <v>3467.9655646985848</v>
      </c>
      <c r="M850" s="306">
        <f t="shared" ca="1" si="393"/>
        <v>1.0985212264389461</v>
      </c>
      <c r="N850" s="304">
        <f t="shared" ca="1" si="394"/>
        <v>62.940629980486634</v>
      </c>
      <c r="P850" s="310">
        <f t="shared" ca="1" si="395"/>
        <v>23</v>
      </c>
      <c r="Q850" s="304">
        <f t="shared" ca="1" si="396"/>
        <v>0</v>
      </c>
      <c r="R850" s="306">
        <f t="shared" ca="1" si="397"/>
        <v>0</v>
      </c>
      <c r="S850" s="307">
        <f t="shared" ca="1" si="398"/>
        <v>15.089040186296437</v>
      </c>
      <c r="T850" s="304">
        <f t="shared" ca="1" si="378"/>
        <v>148.02348422756805</v>
      </c>
      <c r="U850" s="311">
        <f t="shared" ca="1" si="379"/>
        <v>0</v>
      </c>
      <c r="V850" s="306">
        <f t="shared" ca="1" si="380"/>
        <v>0.8868087136802385</v>
      </c>
      <c r="W850" s="304">
        <f t="shared" ca="1" si="381"/>
        <v>215.54847927120747</v>
      </c>
      <c r="Y850" s="314" t="str">
        <f t="shared" ca="1" si="399"/>
        <v/>
      </c>
      <c r="Z850" s="315" t="str">
        <f t="shared" ca="1" si="400"/>
        <v/>
      </c>
      <c r="AA850" s="316" t="str">
        <f t="shared" ca="1" si="401"/>
        <v/>
      </c>
      <c r="AC850" s="310" t="e">
        <f t="shared" ca="1" si="402"/>
        <v>#N/A</v>
      </c>
      <c r="AD850" s="323" t="e">
        <f t="shared" ca="1" si="403"/>
        <v>#N/A</v>
      </c>
      <c r="AE850" s="324">
        <f t="shared" ca="1" si="382"/>
        <v>3202.8590859481506</v>
      </c>
      <c r="AG850" s="306">
        <f t="shared" ca="1" si="404"/>
        <v>-23.387449571988032</v>
      </c>
      <c r="AH850" s="304">
        <f t="shared" ca="1" si="405"/>
        <v>-14.641604101655508</v>
      </c>
    </row>
    <row r="851" spans="1:34" x14ac:dyDescent="0.2">
      <c r="A851" s="347">
        <f t="shared" ca="1" si="383"/>
        <v>0.1</v>
      </c>
      <c r="B851" s="304">
        <f t="shared" ca="1" si="384"/>
        <v>12.699999999999857</v>
      </c>
      <c r="D851" s="306">
        <f t="shared" ca="1" si="385"/>
        <v>-6.498486052259592</v>
      </c>
      <c r="E851" s="307">
        <f t="shared" ca="1" si="386"/>
        <v>-22.531392231769878</v>
      </c>
      <c r="F851" s="304">
        <f t="shared" ca="1" si="387"/>
        <v>23.44981784307231</v>
      </c>
      <c r="G851" s="306">
        <f t="shared" ca="1" si="388"/>
        <v>92.241019124586913</v>
      </c>
      <c r="H851" s="307">
        <f t="shared" ca="1" si="389"/>
        <v>179.58939358175454</v>
      </c>
      <c r="I851" s="304">
        <f t="shared" ca="1" si="390"/>
        <v>201.89293176385533</v>
      </c>
      <c r="J851" s="306">
        <f t="shared" ca="1" si="391"/>
        <v>1339.0982516442768</v>
      </c>
      <c r="K851" s="307">
        <f t="shared" ca="1" si="392"/>
        <v>3220.9306822674848</v>
      </c>
      <c r="L851" s="304">
        <f t="shared" ca="1" si="377"/>
        <v>3488.2056400861525</v>
      </c>
      <c r="M851" s="306">
        <f t="shared" ca="1" si="393"/>
        <v>1.0963107947931854</v>
      </c>
      <c r="N851" s="304">
        <f t="shared" ca="1" si="394"/>
        <v>62.813981576282387</v>
      </c>
      <c r="P851" s="310">
        <f t="shared" ca="1" si="395"/>
        <v>23</v>
      </c>
      <c r="Q851" s="304">
        <f t="shared" ca="1" si="396"/>
        <v>0</v>
      </c>
      <c r="R851" s="306">
        <f t="shared" ca="1" si="397"/>
        <v>0</v>
      </c>
      <c r="S851" s="307">
        <f t="shared" ca="1" si="398"/>
        <v>15.089040186296437</v>
      </c>
      <c r="T851" s="304">
        <f t="shared" ca="1" si="378"/>
        <v>148.02348422756805</v>
      </c>
      <c r="U851" s="311">
        <f t="shared" ca="1" si="379"/>
        <v>0</v>
      </c>
      <c r="V851" s="306">
        <f t="shared" ca="1" si="380"/>
        <v>0.8851652070051842</v>
      </c>
      <c r="W851" s="304">
        <f t="shared" ca="1" si="381"/>
        <v>210.32612579728379</v>
      </c>
      <c r="Y851" s="314" t="str">
        <f t="shared" ca="1" si="399"/>
        <v/>
      </c>
      <c r="Z851" s="315" t="str">
        <f t="shared" ca="1" si="400"/>
        <v/>
      </c>
      <c r="AA851" s="316" t="str">
        <f t="shared" ca="1" si="401"/>
        <v/>
      </c>
      <c r="AC851" s="310" t="e">
        <f t="shared" ca="1" si="402"/>
        <v>#N/A</v>
      </c>
      <c r="AD851" s="323" t="e">
        <f t="shared" ca="1" si="403"/>
        <v>#N/A</v>
      </c>
      <c r="AE851" s="324">
        <f t="shared" ca="1" si="382"/>
        <v>3220.9306822674848</v>
      </c>
      <c r="AG851" s="306">
        <f t="shared" ca="1" si="404"/>
        <v>-23.0212565061723</v>
      </c>
      <c r="AH851" s="304">
        <f t="shared" ca="1" si="405"/>
        <v>-14.285102074747224</v>
      </c>
    </row>
    <row r="852" spans="1:34" x14ac:dyDescent="0.2">
      <c r="A852" s="347">
        <f t="shared" ca="1" si="383"/>
        <v>0.1</v>
      </c>
      <c r="B852" s="304">
        <f t="shared" ca="1" si="384"/>
        <v>12.799999999999857</v>
      </c>
      <c r="D852" s="306">
        <f t="shared" ca="1" si="385"/>
        <v>-6.3684623408126457</v>
      </c>
      <c r="E852" s="307">
        <f t="shared" ca="1" si="386"/>
        <v>-22.209128941648132</v>
      </c>
      <c r="F852" s="304">
        <f t="shared" ca="1" si="387"/>
        <v>23.10417107219174</v>
      </c>
      <c r="G852" s="306">
        <f t="shared" ca="1" si="388"/>
        <v>91.604172890505652</v>
      </c>
      <c r="H852" s="307">
        <f t="shared" ca="1" si="389"/>
        <v>177.36848068758971</v>
      </c>
      <c r="I852" s="304">
        <f t="shared" ca="1" si="390"/>
        <v>199.62690808700498</v>
      </c>
      <c r="J852" s="306">
        <f t="shared" ca="1" si="391"/>
        <v>1348.2905112450314</v>
      </c>
      <c r="K852" s="307">
        <f t="shared" ca="1" si="392"/>
        <v>3238.7785759809522</v>
      </c>
      <c r="L852" s="304">
        <f t="shared" ca="1" si="377"/>
        <v>3508.2152110363172</v>
      </c>
      <c r="M852" s="306">
        <f t="shared" ca="1" si="393"/>
        <v>1.0940656039104937</v>
      </c>
      <c r="N852" s="304">
        <f t="shared" ca="1" si="394"/>
        <v>62.685341614502903</v>
      </c>
      <c r="P852" s="310">
        <f t="shared" ca="1" si="395"/>
        <v>23</v>
      </c>
      <c r="Q852" s="304">
        <f t="shared" ca="1" si="396"/>
        <v>0</v>
      </c>
      <c r="R852" s="306">
        <f t="shared" ca="1" si="397"/>
        <v>0</v>
      </c>
      <c r="S852" s="307">
        <f t="shared" ca="1" si="398"/>
        <v>15.089040186296437</v>
      </c>
      <c r="T852" s="304">
        <f t="shared" ca="1" si="378"/>
        <v>148.02348422756805</v>
      </c>
      <c r="U852" s="311">
        <f t="shared" ca="1" si="379"/>
        <v>0</v>
      </c>
      <c r="V852" s="306">
        <f t="shared" ca="1" si="380"/>
        <v>0.88354455365589801</v>
      </c>
      <c r="W852" s="304">
        <f t="shared" ca="1" si="381"/>
        <v>205.25477666036963</v>
      </c>
      <c r="Y852" s="314" t="str">
        <f t="shared" ca="1" si="399"/>
        <v/>
      </c>
      <c r="Z852" s="315" t="str">
        <f t="shared" ca="1" si="400"/>
        <v/>
      </c>
      <c r="AA852" s="316" t="str">
        <f t="shared" ca="1" si="401"/>
        <v/>
      </c>
      <c r="AC852" s="310" t="e">
        <f t="shared" ca="1" si="402"/>
        <v>#N/A</v>
      </c>
      <c r="AD852" s="323" t="e">
        <f t="shared" ca="1" si="403"/>
        <v>#N/A</v>
      </c>
      <c r="AE852" s="324">
        <f t="shared" ca="1" si="382"/>
        <v>3238.7785759809522</v>
      </c>
      <c r="AG852" s="306">
        <f t="shared" ca="1" si="404"/>
        <v>-22.665268244927837</v>
      </c>
      <c r="AH852" s="304">
        <f t="shared" ca="1" si="405"/>
        <v>-13.938999644808273</v>
      </c>
    </row>
    <row r="853" spans="1:34" x14ac:dyDescent="0.2">
      <c r="A853" s="347">
        <f t="shared" ca="1" si="383"/>
        <v>0.1</v>
      </c>
      <c r="B853" s="304">
        <f t="shared" ca="1" si="384"/>
        <v>12.899999999999856</v>
      </c>
      <c r="D853" s="306">
        <f t="shared" ca="1" si="385"/>
        <v>-6.2420585076103823</v>
      </c>
      <c r="E853" s="307">
        <f t="shared" ca="1" si="386"/>
        <v>-21.896179034455841</v>
      </c>
      <c r="F853" s="304">
        <f t="shared" ca="1" si="387"/>
        <v>22.768529832234989</v>
      </c>
      <c r="G853" s="306">
        <f t="shared" ca="1" si="388"/>
        <v>90.979967039744608</v>
      </c>
      <c r="H853" s="307">
        <f t="shared" ca="1" si="389"/>
        <v>175.17886278414412</v>
      </c>
      <c r="I853" s="304">
        <f t="shared" ca="1" si="390"/>
        <v>197.39551253485732</v>
      </c>
      <c r="J853" s="306">
        <f t="shared" ca="1" si="391"/>
        <v>1357.4197182415439</v>
      </c>
      <c r="K853" s="307">
        <f t="shared" ca="1" si="392"/>
        <v>3256.4059431545388</v>
      </c>
      <c r="L853" s="304">
        <f t="shared" ca="1" si="377"/>
        <v>3527.9977264849754</v>
      </c>
      <c r="M853" s="306">
        <f t="shared" ca="1" si="393"/>
        <v>1.0917851133137744</v>
      </c>
      <c r="N853" s="304">
        <f t="shared" ca="1" si="394"/>
        <v>62.554679128091614</v>
      </c>
      <c r="P853" s="310">
        <f t="shared" ca="1" si="395"/>
        <v>23</v>
      </c>
      <c r="Q853" s="304">
        <f t="shared" ca="1" si="396"/>
        <v>0</v>
      </c>
      <c r="R853" s="306">
        <f t="shared" ca="1" si="397"/>
        <v>0</v>
      </c>
      <c r="S853" s="307">
        <f t="shared" ca="1" si="398"/>
        <v>15.089040186296437</v>
      </c>
      <c r="T853" s="304">
        <f t="shared" ca="1" si="378"/>
        <v>148.02348422756805</v>
      </c>
      <c r="U853" s="311">
        <f t="shared" ca="1" si="379"/>
        <v>0</v>
      </c>
      <c r="V853" s="306">
        <f t="shared" ca="1" si="380"/>
        <v>0.88194636650952596</v>
      </c>
      <c r="W853" s="304">
        <f t="shared" ca="1" si="381"/>
        <v>200.32879760096424</v>
      </c>
      <c r="Y853" s="314" t="str">
        <f t="shared" ca="1" si="399"/>
        <v/>
      </c>
      <c r="Z853" s="315" t="str">
        <f t="shared" ca="1" si="400"/>
        <v/>
      </c>
      <c r="AA853" s="316" t="str">
        <f t="shared" ca="1" si="401"/>
        <v/>
      </c>
      <c r="AC853" s="310" t="e">
        <f t="shared" ca="1" si="402"/>
        <v>#N/A</v>
      </c>
      <c r="AD853" s="323" t="e">
        <f t="shared" ca="1" si="403"/>
        <v>#N/A</v>
      </c>
      <c r="AE853" s="324">
        <f t="shared" ca="1" si="382"/>
        <v>3256.4059431545388</v>
      </c>
      <c r="AG853" s="306">
        <f t="shared" ca="1" si="404"/>
        <v>-22.319088431639731</v>
      </c>
      <c r="AH853" s="304">
        <f t="shared" ca="1" si="405"/>
        <v>-13.602904765723792</v>
      </c>
    </row>
    <row r="854" spans="1:34" x14ac:dyDescent="0.2">
      <c r="A854" s="347">
        <f t="shared" ca="1" si="383"/>
        <v>0.1</v>
      </c>
      <c r="B854" s="304">
        <f t="shared" ca="1" si="384"/>
        <v>12.999999999999856</v>
      </c>
      <c r="D854" s="306">
        <f t="shared" ca="1" si="385"/>
        <v>-6.1191382993125485</v>
      </c>
      <c r="E854" s="307">
        <f t="shared" ca="1" si="386"/>
        <v>-21.592194733310855</v>
      </c>
      <c r="F854" s="304">
        <f t="shared" ca="1" si="387"/>
        <v>22.442520511906203</v>
      </c>
      <c r="G854" s="306">
        <f t="shared" ca="1" si="388"/>
        <v>90.368053209813354</v>
      </c>
      <c r="H854" s="307">
        <f t="shared" ca="1" si="389"/>
        <v>173.01964331081302</v>
      </c>
      <c r="I854" s="304">
        <f t="shared" ca="1" si="390"/>
        <v>195.19780227331614</v>
      </c>
      <c r="J854" s="306">
        <f t="shared" ca="1" si="391"/>
        <v>1366.4871192540218</v>
      </c>
      <c r="K854" s="307">
        <f t="shared" ca="1" si="392"/>
        <v>3273.8158684592868</v>
      </c>
      <c r="L854" s="304">
        <f t="shared" ca="1" si="377"/>
        <v>3547.5565376274117</v>
      </c>
      <c r="M854" s="306">
        <f t="shared" ca="1" si="393"/>
        <v>1.0894687697675978</v>
      </c>
      <c r="N854" s="304">
        <f t="shared" ca="1" si="394"/>
        <v>62.421962418993331</v>
      </c>
      <c r="P854" s="310">
        <f t="shared" ca="1" si="395"/>
        <v>23</v>
      </c>
      <c r="Q854" s="304">
        <f t="shared" ca="1" si="396"/>
        <v>0</v>
      </c>
      <c r="R854" s="306">
        <f t="shared" ca="1" si="397"/>
        <v>0</v>
      </c>
      <c r="S854" s="307">
        <f t="shared" ca="1" si="398"/>
        <v>15.089040186296437</v>
      </c>
      <c r="T854" s="304">
        <f t="shared" ca="1" si="378"/>
        <v>148.02348422756805</v>
      </c>
      <c r="U854" s="311">
        <f t="shared" ca="1" si="379"/>
        <v>0</v>
      </c>
      <c r="V854" s="306">
        <f t="shared" ca="1" si="380"/>
        <v>0.88037027004690205</v>
      </c>
      <c r="W854" s="304">
        <f t="shared" ca="1" si="381"/>
        <v>195.54281973683285</v>
      </c>
      <c r="Y854" s="314" t="str">
        <f t="shared" ca="1" si="399"/>
        <v/>
      </c>
      <c r="Z854" s="315" t="str">
        <f t="shared" ca="1" si="400"/>
        <v/>
      </c>
      <c r="AA854" s="316" t="str">
        <f t="shared" ca="1" si="401"/>
        <v/>
      </c>
      <c r="AC854" s="310">
        <f t="shared" ca="1" si="402"/>
        <v>12.999999999999856</v>
      </c>
      <c r="AD854" s="323">
        <f t="shared" ca="1" si="403"/>
        <v>1366.4871192540218</v>
      </c>
      <c r="AE854" s="324">
        <f t="shared" ca="1" si="382"/>
        <v>3273.8158684592868</v>
      </c>
      <c r="AG854" s="306">
        <f t="shared" ca="1" si="404"/>
        <v>-21.98233923079701</v>
      </c>
      <c r="AH854" s="304">
        <f t="shared" ca="1" si="405"/>
        <v>-13.276444036705451</v>
      </c>
    </row>
    <row r="855" spans="1:34" x14ac:dyDescent="0.2">
      <c r="A855" s="347">
        <f t="shared" ca="1" si="383"/>
        <v>0.1</v>
      </c>
      <c r="B855" s="304">
        <f t="shared" ca="1" si="384"/>
        <v>13.099999999999856</v>
      </c>
      <c r="D855" s="306">
        <f t="shared" ca="1" si="385"/>
        <v>-5.9995718814485564</v>
      </c>
      <c r="E855" s="307">
        <f t="shared" ca="1" si="386"/>
        <v>-21.296844632314023</v>
      </c>
      <c r="F855" s="304">
        <f t="shared" ca="1" si="387"/>
        <v>22.125787083256288</v>
      </c>
      <c r="G855" s="306">
        <f t="shared" ca="1" si="388"/>
        <v>89.768096021668498</v>
      </c>
      <c r="H855" s="307">
        <f t="shared" ca="1" si="389"/>
        <v>170.88995884758162</v>
      </c>
      <c r="I855" s="304">
        <f t="shared" ca="1" si="390"/>
        <v>193.03287051246903</v>
      </c>
      <c r="J855" s="306">
        <f t="shared" ca="1" si="391"/>
        <v>1375.4939267155958</v>
      </c>
      <c r="K855" s="307">
        <f t="shared" ca="1" si="392"/>
        <v>3291.0113485672064</v>
      </c>
      <c r="L855" s="304">
        <f t="shared" ca="1" si="377"/>
        <v>3566.8949015676972</v>
      </c>
      <c r="M855" s="306">
        <f t="shared" ca="1" si="393"/>
        <v>1.0871160069836023</v>
      </c>
      <c r="N855" s="304">
        <f t="shared" ca="1" si="394"/>
        <v>62.28715904127494</v>
      </c>
      <c r="P855" s="310">
        <f t="shared" ca="1" si="395"/>
        <v>23</v>
      </c>
      <c r="Q855" s="304">
        <f t="shared" ca="1" si="396"/>
        <v>0</v>
      </c>
      <c r="R855" s="306">
        <f t="shared" ca="1" si="397"/>
        <v>0</v>
      </c>
      <c r="S855" s="307">
        <f t="shared" ca="1" si="398"/>
        <v>15.089040186296437</v>
      </c>
      <c r="T855" s="304">
        <f t="shared" ca="1" si="378"/>
        <v>148.02348422756805</v>
      </c>
      <c r="U855" s="311">
        <f t="shared" ca="1" si="379"/>
        <v>0</v>
      </c>
      <c r="V855" s="306">
        <f t="shared" ca="1" si="380"/>
        <v>0.8788158999057093</v>
      </c>
      <c r="W855" s="304">
        <f t="shared" ca="1" si="381"/>
        <v>190.89172465214671</v>
      </c>
      <c r="Y855" s="314" t="str">
        <f t="shared" ca="1" si="399"/>
        <v/>
      </c>
      <c r="Z855" s="315" t="str">
        <f t="shared" ca="1" si="400"/>
        <v/>
      </c>
      <c r="AA855" s="316" t="str">
        <f t="shared" ca="1" si="401"/>
        <v/>
      </c>
      <c r="AC855" s="310" t="e">
        <f t="shared" ca="1" si="402"/>
        <v>#N/A</v>
      </c>
      <c r="AD855" s="323" t="e">
        <f t="shared" ca="1" si="403"/>
        <v>#N/A</v>
      </c>
      <c r="AE855" s="324">
        <f t="shared" ca="1" si="382"/>
        <v>3291.0113485672064</v>
      </c>
      <c r="AG855" s="306">
        <f t="shared" ca="1" si="404"/>
        <v>-21.654660266251614</v>
      </c>
      <c r="AH855" s="304">
        <f t="shared" ca="1" si="405"/>
        <v>-12.959261644383512</v>
      </c>
    </row>
    <row r="856" spans="1:34" x14ac:dyDescent="0.2">
      <c r="A856" s="347">
        <f t="shared" ca="1" si="383"/>
        <v>0.1</v>
      </c>
      <c r="B856" s="304">
        <f t="shared" ca="1" si="384"/>
        <v>13.199999999999855</v>
      </c>
      <c r="D856" s="306">
        <f t="shared" ca="1" si="385"/>
        <v>-5.8832354780271023</v>
      </c>
      <c r="E856" s="307">
        <f t="shared" ca="1" si="386"/>
        <v>-21.009812776334265</v>
      </c>
      <c r="F856" s="304">
        <f t="shared" ca="1" si="387"/>
        <v>21.817990113356803</v>
      </c>
      <c r="G856" s="306">
        <f t="shared" ca="1" si="388"/>
        <v>89.179772473865782</v>
      </c>
      <c r="H856" s="307">
        <f t="shared" ca="1" si="389"/>
        <v>168.7889775699482</v>
      </c>
      <c r="I856" s="304">
        <f t="shared" ca="1" si="390"/>
        <v>190.8998448600704</v>
      </c>
      <c r="J856" s="306">
        <f t="shared" ca="1" si="391"/>
        <v>1384.4413201403725</v>
      </c>
      <c r="K856" s="307">
        <f t="shared" ca="1" si="392"/>
        <v>3307.9952953880829</v>
      </c>
      <c r="L856" s="304">
        <f t="shared" ca="1" si="377"/>
        <v>3586.0159847972941</v>
      </c>
      <c r="M856" s="306">
        <f t="shared" ca="1" si="393"/>
        <v>1.0847262453180972</v>
      </c>
      <c r="N856" s="304">
        <f t="shared" ca="1" si="394"/>
        <v>62.150235783799346</v>
      </c>
      <c r="P856" s="310">
        <f t="shared" ca="1" si="395"/>
        <v>23</v>
      </c>
      <c r="Q856" s="304">
        <f t="shared" ca="1" si="396"/>
        <v>0</v>
      </c>
      <c r="R856" s="306">
        <f t="shared" ca="1" si="397"/>
        <v>0</v>
      </c>
      <c r="S856" s="307">
        <f t="shared" ca="1" si="398"/>
        <v>15.089040186296437</v>
      </c>
      <c r="T856" s="304">
        <f t="shared" ca="1" si="378"/>
        <v>148.02348422756805</v>
      </c>
      <c r="U856" s="311">
        <f t="shared" ca="1" si="379"/>
        <v>0</v>
      </c>
      <c r="V856" s="306">
        <f t="shared" ca="1" si="380"/>
        <v>0.87728290245517426</v>
      </c>
      <c r="W856" s="304">
        <f t="shared" ca="1" si="381"/>
        <v>186.37063045983794</v>
      </c>
      <c r="Y856" s="314" t="str">
        <f t="shared" ca="1" si="399"/>
        <v/>
      </c>
      <c r="Z856" s="315" t="str">
        <f t="shared" ca="1" si="400"/>
        <v/>
      </c>
      <c r="AA856" s="316" t="str">
        <f t="shared" ca="1" si="401"/>
        <v/>
      </c>
      <c r="AC856" s="310" t="e">
        <f t="shared" ca="1" si="402"/>
        <v>#N/A</v>
      </c>
      <c r="AD856" s="323" t="e">
        <f t="shared" ca="1" si="403"/>
        <v>#N/A</v>
      </c>
      <c r="AE856" s="324">
        <f t="shared" ca="1" si="382"/>
        <v>3307.9952953880829</v>
      </c>
      <c r="AG856" s="306">
        <f t="shared" ca="1" si="404"/>
        <v>-21.335707629062817</v>
      </c>
      <c r="AH856" s="304">
        <f t="shared" ca="1" si="405"/>
        <v>-12.65101837461542</v>
      </c>
    </row>
    <row r="857" spans="1:34" x14ac:dyDescent="0.2">
      <c r="A857" s="347">
        <f t="shared" ca="1" si="383"/>
        <v>0.1</v>
      </c>
      <c r="B857" s="304">
        <f t="shared" ca="1" si="384"/>
        <v>13.299999999999855</v>
      </c>
      <c r="D857" s="306">
        <f t="shared" ca="1" si="385"/>
        <v>-5.770011034685421</v>
      </c>
      <c r="E857" s="307">
        <f t="shared" ca="1" si="386"/>
        <v>-20.730797800838502</v>
      </c>
      <c r="F857" s="304">
        <f t="shared" ca="1" si="387"/>
        <v>21.518805840465266</v>
      </c>
      <c r="G857" s="306">
        <f t="shared" ca="1" si="388"/>
        <v>88.602771370397235</v>
      </c>
      <c r="H857" s="307">
        <f t="shared" ca="1" si="389"/>
        <v>166.71589778986436</v>
      </c>
      <c r="I857" s="304">
        <f t="shared" ca="1" si="390"/>
        <v>188.79788576781093</v>
      </c>
      <c r="J857" s="306">
        <f t="shared" ca="1" si="391"/>
        <v>1393.3304473325857</v>
      </c>
      <c r="K857" s="307">
        <f t="shared" ca="1" si="392"/>
        <v>3324.7705391560735</v>
      </c>
      <c r="L857" s="304">
        <f t="shared" ca="1" si="377"/>
        <v>3604.9228665124297</v>
      </c>
      <c r="M857" s="306">
        <f t="shared" ca="1" si="393"/>
        <v>1.0822988914617417</v>
      </c>
      <c r="N857" s="304">
        <f t="shared" ca="1" si="394"/>
        <v>62.011158652445374</v>
      </c>
      <c r="P857" s="310">
        <f t="shared" ca="1" si="395"/>
        <v>23</v>
      </c>
      <c r="Q857" s="304">
        <f t="shared" ca="1" si="396"/>
        <v>0</v>
      </c>
      <c r="R857" s="306">
        <f t="shared" ca="1" si="397"/>
        <v>0</v>
      </c>
      <c r="S857" s="307">
        <f t="shared" ca="1" si="398"/>
        <v>15.089040186296437</v>
      </c>
      <c r="T857" s="304">
        <f t="shared" ca="1" si="378"/>
        <v>148.02348422756805</v>
      </c>
      <c r="U857" s="311">
        <f t="shared" ca="1" si="379"/>
        <v>0</v>
      </c>
      <c r="V857" s="306">
        <f t="shared" ca="1" si="380"/>
        <v>0.87577093439106124</v>
      </c>
      <c r="W857" s="304">
        <f t="shared" ca="1" si="381"/>
        <v>181.97487876502151</v>
      </c>
      <c r="Y857" s="314" t="str">
        <f t="shared" ca="1" si="399"/>
        <v/>
      </c>
      <c r="Z857" s="315" t="str">
        <f t="shared" ca="1" si="400"/>
        <v/>
      </c>
      <c r="AA857" s="316" t="str">
        <f t="shared" ca="1" si="401"/>
        <v/>
      </c>
      <c r="AC857" s="310" t="e">
        <f t="shared" ca="1" si="402"/>
        <v>#N/A</v>
      </c>
      <c r="AD857" s="323" t="e">
        <f t="shared" ca="1" si="403"/>
        <v>#N/A</v>
      </c>
      <c r="AE857" s="324">
        <f t="shared" ca="1" si="382"/>
        <v>3324.7705391560735</v>
      </c>
      <c r="AG857" s="306">
        <f t="shared" ca="1" si="404"/>
        <v>-21.025152949704299</v>
      </c>
      <c r="AH857" s="304">
        <f t="shared" ca="1" si="405"/>
        <v>-12.351390688792518</v>
      </c>
    </row>
    <row r="858" spans="1:34" x14ac:dyDescent="0.2">
      <c r="A858" s="347">
        <f t="shared" ca="1" si="383"/>
        <v>0.1</v>
      </c>
      <c r="B858" s="304">
        <f t="shared" ca="1" si="384"/>
        <v>13.399999999999855</v>
      </c>
      <c r="D858" s="306">
        <f t="shared" ca="1" si="385"/>
        <v>-5.6597859036336722</v>
      </c>
      <c r="E858" s="307">
        <f t="shared" ca="1" si="386"/>
        <v>-20.459512127314358</v>
      </c>
      <c r="F858" s="304">
        <f t="shared" ca="1" si="387"/>
        <v>21.227925309900016</v>
      </c>
      <c r="G858" s="306">
        <f t="shared" ca="1" si="388"/>
        <v>88.036792780033863</v>
      </c>
      <c r="H858" s="307">
        <f t="shared" ca="1" si="389"/>
        <v>164.66994657713292</v>
      </c>
      <c r="I858" s="304">
        <f t="shared" ca="1" si="390"/>
        <v>186.72618506441574</v>
      </c>
      <c r="J858" s="306">
        <f t="shared" ca="1" si="391"/>
        <v>1402.1624255401073</v>
      </c>
      <c r="K858" s="307">
        <f t="shared" ca="1" si="392"/>
        <v>3341.3398313744233</v>
      </c>
      <c r="L858" s="304">
        <f t="shared" ca="1" si="377"/>
        <v>3623.6185417791667</v>
      </c>
      <c r="M858" s="306">
        <f t="shared" ca="1" si="393"/>
        <v>1.0798333381211673</v>
      </c>
      <c r="N858" s="304">
        <f t="shared" ca="1" si="394"/>
        <v>61.869892851866076</v>
      </c>
      <c r="P858" s="310">
        <f t="shared" ca="1" si="395"/>
        <v>23</v>
      </c>
      <c r="Q858" s="304">
        <f t="shared" ca="1" si="396"/>
        <v>0</v>
      </c>
      <c r="R858" s="306">
        <f t="shared" ca="1" si="397"/>
        <v>0</v>
      </c>
      <c r="S858" s="307">
        <f t="shared" ca="1" si="398"/>
        <v>15.089040186296437</v>
      </c>
      <c r="T858" s="304">
        <f t="shared" ca="1" si="378"/>
        <v>148.02348422756805</v>
      </c>
      <c r="U858" s="311">
        <f t="shared" ca="1" si="379"/>
        <v>0</v>
      </c>
      <c r="V858" s="306">
        <f t="shared" ca="1" si="380"/>
        <v>0.87427966234981569</v>
      </c>
      <c r="W858" s="304">
        <f t="shared" ca="1" si="381"/>
        <v>177.70002246330981</v>
      </c>
      <c r="Y858" s="314" t="str">
        <f t="shared" ca="1" si="399"/>
        <v/>
      </c>
      <c r="Z858" s="315" t="str">
        <f t="shared" ca="1" si="400"/>
        <v/>
      </c>
      <c r="AA858" s="316" t="str">
        <f t="shared" ca="1" si="401"/>
        <v/>
      </c>
      <c r="AC858" s="310" t="e">
        <f t="shared" ca="1" si="402"/>
        <v>#N/A</v>
      </c>
      <c r="AD858" s="323" t="e">
        <f t="shared" ca="1" si="403"/>
        <v>#N/A</v>
      </c>
      <c r="AE858" s="324">
        <f t="shared" ca="1" si="382"/>
        <v>3341.3398313744233</v>
      </c>
      <c r="AG858" s="306">
        <f t="shared" ca="1" si="404"/>
        <v>-20.72268252984815</v>
      </c>
      <c r="AH858" s="304">
        <f t="shared" ca="1" si="405"/>
        <v>-12.060069859863416</v>
      </c>
    </row>
    <row r="859" spans="1:34" x14ac:dyDescent="0.2">
      <c r="A859" s="347">
        <f t="shared" ca="1" si="383"/>
        <v>0.1</v>
      </c>
      <c r="B859" s="304">
        <f t="shared" ca="1" si="384"/>
        <v>13.499999999999854</v>
      </c>
      <c r="D859" s="306">
        <f t="shared" ca="1" si="385"/>
        <v>-5.5524525487944976</v>
      </c>
      <c r="E859" s="307">
        <f t="shared" ca="1" si="386"/>
        <v>-20.195681210202125</v>
      </c>
      <c r="F859" s="304">
        <f t="shared" ca="1" si="387"/>
        <v>20.945053565238872</v>
      </c>
      <c r="G859" s="306">
        <f t="shared" ca="1" si="388"/>
        <v>87.481547525154411</v>
      </c>
      <c r="H859" s="307">
        <f t="shared" ca="1" si="389"/>
        <v>162.65037845611272</v>
      </c>
      <c r="I859" s="304">
        <f t="shared" ca="1" si="390"/>
        <v>184.68396457005289</v>
      </c>
      <c r="J859" s="306">
        <f t="shared" ca="1" si="391"/>
        <v>1410.9383425553667</v>
      </c>
      <c r="K859" s="307">
        <f t="shared" ca="1" si="392"/>
        <v>3357.7058476260854</v>
      </c>
      <c r="L859" s="304">
        <f t="shared" ca="1" si="377"/>
        <v>3642.1059245545416</v>
      </c>
      <c r="M859" s="306">
        <f t="shared" ca="1" si="393"/>
        <v>1.0773289636924248</v>
      </c>
      <c r="N859" s="304">
        <f t="shared" ca="1" si="394"/>
        <v>61.726402766778641</v>
      </c>
      <c r="P859" s="310">
        <f t="shared" ca="1" si="395"/>
        <v>23</v>
      </c>
      <c r="Q859" s="304">
        <f t="shared" ca="1" si="396"/>
        <v>0</v>
      </c>
      <c r="R859" s="306">
        <f t="shared" ca="1" si="397"/>
        <v>0</v>
      </c>
      <c r="S859" s="307">
        <f t="shared" ca="1" si="398"/>
        <v>15.089040186296437</v>
      </c>
      <c r="T859" s="304">
        <f t="shared" ca="1" si="378"/>
        <v>148.02348422756805</v>
      </c>
      <c r="U859" s="311">
        <f t="shared" ca="1" si="379"/>
        <v>0</v>
      </c>
      <c r="V859" s="306">
        <f t="shared" ca="1" si="380"/>
        <v>0.87280876254077921</v>
      </c>
      <c r="W859" s="304">
        <f t="shared" ca="1" si="381"/>
        <v>173.54181431327839</v>
      </c>
      <c r="Y859" s="314" t="str">
        <f t="shared" ca="1" si="399"/>
        <v/>
      </c>
      <c r="Z859" s="315" t="str">
        <f t="shared" ca="1" si="400"/>
        <v/>
      </c>
      <c r="AA859" s="316" t="str">
        <f t="shared" ca="1" si="401"/>
        <v/>
      </c>
      <c r="AC859" s="310" t="e">
        <f t="shared" ca="1" si="402"/>
        <v>#N/A</v>
      </c>
      <c r="AD859" s="323" t="e">
        <f t="shared" ca="1" si="403"/>
        <v>#N/A</v>
      </c>
      <c r="AE859" s="324">
        <f t="shared" ca="1" si="382"/>
        <v>3357.7058476260854</v>
      </c>
      <c r="AG859" s="306">
        <f t="shared" ca="1" si="404"/>
        <v>-20.427996529335715</v>
      </c>
      <c r="AH859" s="304">
        <f t="shared" ca="1" si="405"/>
        <v>-11.776761163688423</v>
      </c>
    </row>
    <row r="860" spans="1:34" x14ac:dyDescent="0.2">
      <c r="A860" s="347">
        <f t="shared" ca="1" si="383"/>
        <v>0.1</v>
      </c>
      <c r="B860" s="304">
        <f t="shared" ca="1" si="384"/>
        <v>13.599999999999854</v>
      </c>
      <c r="D860" s="306">
        <f t="shared" ca="1" si="385"/>
        <v>-5.447908269669071</v>
      </c>
      <c r="E860" s="307">
        <f t="shared" ca="1" si="386"/>
        <v>-19.939042831587656</v>
      </c>
      <c r="F860" s="304">
        <f t="shared" ca="1" si="387"/>
        <v>20.669908890815549</v>
      </c>
      <c r="G860" s="306">
        <f t="shared" ca="1" si="388"/>
        <v>86.936756698187509</v>
      </c>
      <c r="H860" s="307">
        <f t="shared" ca="1" si="389"/>
        <v>160.65647417295395</v>
      </c>
      <c r="I860" s="304">
        <f t="shared" ca="1" si="390"/>
        <v>182.67047478693669</v>
      </c>
      <c r="J860" s="306">
        <f t="shared" ca="1" si="391"/>
        <v>1419.6592577665338</v>
      </c>
      <c r="K860" s="307">
        <f t="shared" ca="1" si="392"/>
        <v>3373.8711902575387</v>
      </c>
      <c r="L860" s="304">
        <f t="shared" ca="1" si="377"/>
        <v>3660.387850571582</v>
      </c>
      <c r="M860" s="306">
        <f t="shared" ca="1" si="393"/>
        <v>1.0747851319261288</v>
      </c>
      <c r="N860" s="304">
        <f t="shared" ca="1" si="394"/>
        <v>61.580651942778573</v>
      </c>
      <c r="P860" s="310">
        <f t="shared" ca="1" si="395"/>
        <v>23</v>
      </c>
      <c r="Q860" s="304">
        <f t="shared" ca="1" si="396"/>
        <v>0</v>
      </c>
      <c r="R860" s="306">
        <f t="shared" ca="1" si="397"/>
        <v>0</v>
      </c>
      <c r="S860" s="307">
        <f t="shared" ca="1" si="398"/>
        <v>15.089040186296437</v>
      </c>
      <c r="T860" s="304">
        <f t="shared" ca="1" si="378"/>
        <v>148.02348422756805</v>
      </c>
      <c r="U860" s="311">
        <f t="shared" ca="1" si="379"/>
        <v>0</v>
      </c>
      <c r="V860" s="306">
        <f t="shared" ca="1" si="380"/>
        <v>0.87135792039547511</v>
      </c>
      <c r="W860" s="304">
        <f t="shared" ca="1" si="381"/>
        <v>169.49619622728275</v>
      </c>
      <c r="Y860" s="314" t="str">
        <f t="shared" ca="1" si="399"/>
        <v/>
      </c>
      <c r="Z860" s="315" t="str">
        <f t="shared" ca="1" si="400"/>
        <v/>
      </c>
      <c r="AA860" s="316" t="str">
        <f t="shared" ca="1" si="401"/>
        <v/>
      </c>
      <c r="AC860" s="310" t="e">
        <f t="shared" ca="1" si="402"/>
        <v>#N/A</v>
      </c>
      <c r="AD860" s="323" t="e">
        <f t="shared" ca="1" si="403"/>
        <v>#N/A</v>
      </c>
      <c r="AE860" s="324">
        <f t="shared" ca="1" si="382"/>
        <v>3373.8711902575387</v>
      </c>
      <c r="AG860" s="306">
        <f t="shared" ca="1" si="404"/>
        <v>-20.140808204305085</v>
      </c>
      <c r="AH860" s="304">
        <f t="shared" ca="1" si="405"/>
        <v>-11.501183121699523</v>
      </c>
    </row>
    <row r="861" spans="1:34" x14ac:dyDescent="0.2">
      <c r="A861" s="347">
        <f t="shared" ca="1" si="383"/>
        <v>0.1</v>
      </c>
      <c r="B861" s="304">
        <f t="shared" ca="1" si="384"/>
        <v>13.699999999999854</v>
      </c>
      <c r="D861" s="306">
        <f t="shared" ca="1" si="385"/>
        <v>-5.3460549425805803</v>
      </c>
      <c r="E861" s="307">
        <f t="shared" ca="1" si="386"/>
        <v>-19.689346440212852</v>
      </c>
      <c r="F861" s="304">
        <f t="shared" ca="1" si="387"/>
        <v>20.402222101815596</v>
      </c>
      <c r="G861" s="306">
        <f t="shared" ca="1" si="388"/>
        <v>86.402151203929449</v>
      </c>
      <c r="H861" s="307">
        <f t="shared" ca="1" si="389"/>
        <v>158.68753952893266</v>
      </c>
      <c r="I861" s="304">
        <f t="shared" ca="1" si="390"/>
        <v>180.6849936613809</v>
      </c>
      <c r="J861" s="306">
        <f t="shared" ca="1" si="391"/>
        <v>1428.3262031616396</v>
      </c>
      <c r="K861" s="307">
        <f t="shared" ca="1" si="392"/>
        <v>3389.8383909426329</v>
      </c>
      <c r="L861" s="304">
        <f t="shared" ca="1" si="377"/>
        <v>3678.46708009555</v>
      </c>
      <c r="M861" s="306">
        <f t="shared" ca="1" si="393"/>
        <v>1.072201191584188</v>
      </c>
      <c r="N861" s="304">
        <f t="shared" ca="1" si="394"/>
        <v>61.432603066671774</v>
      </c>
      <c r="P861" s="310">
        <f t="shared" ca="1" si="395"/>
        <v>23</v>
      </c>
      <c r="Q861" s="304">
        <f t="shared" ca="1" si="396"/>
        <v>0</v>
      </c>
      <c r="R861" s="306">
        <f t="shared" ca="1" si="397"/>
        <v>0</v>
      </c>
      <c r="S861" s="307">
        <f t="shared" ca="1" si="398"/>
        <v>15.089040186296437</v>
      </c>
      <c r="T861" s="304">
        <f t="shared" ca="1" si="378"/>
        <v>148.02348422756805</v>
      </c>
      <c r="U861" s="311">
        <f t="shared" ca="1" si="379"/>
        <v>0</v>
      </c>
      <c r="V861" s="306">
        <f t="shared" ca="1" si="380"/>
        <v>0.86992683023301787</v>
      </c>
      <c r="W861" s="304">
        <f t="shared" ca="1" si="381"/>
        <v>165.55928922931886</v>
      </c>
      <c r="Y861" s="314" t="str">
        <f t="shared" ca="1" si="399"/>
        <v/>
      </c>
      <c r="Z861" s="315" t="str">
        <f t="shared" ca="1" si="400"/>
        <v/>
      </c>
      <c r="AA861" s="316" t="str">
        <f t="shared" ca="1" si="401"/>
        <v/>
      </c>
      <c r="AC861" s="310" t="e">
        <f t="shared" ca="1" si="402"/>
        <v>#N/A</v>
      </c>
      <c r="AD861" s="323" t="e">
        <f t="shared" ca="1" si="403"/>
        <v>#N/A</v>
      </c>
      <c r="AE861" s="324">
        <f t="shared" ca="1" si="382"/>
        <v>3389.8383909426329</v>
      </c>
      <c r="AG861" s="306">
        <f t="shared" ca="1" si="404"/>
        <v>-19.860843192772599</v>
      </c>
      <c r="AH861" s="304">
        <f t="shared" ca="1" si="405"/>
        <v>-11.23306679116779</v>
      </c>
    </row>
    <row r="862" spans="1:34" x14ac:dyDescent="0.2">
      <c r="A862" s="347">
        <f t="shared" ca="1" si="383"/>
        <v>0.1</v>
      </c>
      <c r="B862" s="304">
        <f t="shared" ca="1" si="384"/>
        <v>13.799999999999853</v>
      </c>
      <c r="D862" s="306">
        <f t="shared" ca="1" si="385"/>
        <v>-5.2467987780546466</v>
      </c>
      <c r="E862" s="307">
        <f t="shared" ca="1" si="386"/>
        <v>-19.446352531637395</v>
      </c>
      <c r="F862" s="304">
        <f t="shared" ca="1" si="387"/>
        <v>20.141735878571037</v>
      </c>
      <c r="G862" s="306">
        <f t="shared" ca="1" si="388"/>
        <v>85.877471326123981</v>
      </c>
      <c r="H862" s="307">
        <f t="shared" ca="1" si="389"/>
        <v>156.74290427576892</v>
      </c>
      <c r="I862" s="304">
        <f t="shared" ca="1" si="390"/>
        <v>178.72682541289683</v>
      </c>
      <c r="J862" s="306">
        <f t="shared" ca="1" si="391"/>
        <v>1436.9401842881423</v>
      </c>
      <c r="K862" s="307">
        <f t="shared" ca="1" si="392"/>
        <v>3405.6099131328679</v>
      </c>
      <c r="L862" s="304">
        <f t="shared" ca="1" si="377"/>
        <v>3696.3463005582826</v>
      </c>
      <c r="M862" s="306">
        <f t="shared" ca="1" si="393"/>
        <v>1.0695764760880093</v>
      </c>
      <c r="N862" s="304">
        <f t="shared" ca="1" si="394"/>
        <v>61.282217946318148</v>
      </c>
      <c r="P862" s="310">
        <f t="shared" ca="1" si="395"/>
        <v>23</v>
      </c>
      <c r="Q862" s="304">
        <f t="shared" ca="1" si="396"/>
        <v>0</v>
      </c>
      <c r="R862" s="306">
        <f t="shared" ca="1" si="397"/>
        <v>0</v>
      </c>
      <c r="S862" s="307">
        <f t="shared" ca="1" si="398"/>
        <v>15.089040186296437</v>
      </c>
      <c r="T862" s="304">
        <f t="shared" ca="1" si="378"/>
        <v>148.02348422756805</v>
      </c>
      <c r="U862" s="311">
        <f t="shared" ca="1" si="379"/>
        <v>0</v>
      </c>
      <c r="V862" s="306">
        <f t="shared" ca="1" si="380"/>
        <v>0.86851519494077123</v>
      </c>
      <c r="W862" s="304">
        <f t="shared" ca="1" si="381"/>
        <v>161.72738403272078</v>
      </c>
      <c r="Y862" s="314" t="str">
        <f t="shared" ca="1" si="399"/>
        <v/>
      </c>
      <c r="Z862" s="315" t="str">
        <f t="shared" ca="1" si="400"/>
        <v/>
      </c>
      <c r="AA862" s="316" t="str">
        <f t="shared" ca="1" si="401"/>
        <v/>
      </c>
      <c r="AC862" s="310" t="e">
        <f t="shared" ca="1" si="402"/>
        <v>#N/A</v>
      </c>
      <c r="AD862" s="323" t="e">
        <f t="shared" ca="1" si="403"/>
        <v>#N/A</v>
      </c>
      <c r="AE862" s="324">
        <f t="shared" ca="1" si="382"/>
        <v>3405.6099131328679</v>
      </c>
      <c r="AG862" s="306">
        <f t="shared" ca="1" si="404"/>
        <v>-19.587838844263153</v>
      </c>
      <c r="AH862" s="304">
        <f t="shared" ca="1" si="405"/>
        <v>-10.972155099678009</v>
      </c>
    </row>
    <row r="863" spans="1:34" x14ac:dyDescent="0.2">
      <c r="A863" s="347">
        <f t="shared" ca="1" si="383"/>
        <v>0.1</v>
      </c>
      <c r="B863" s="304">
        <f t="shared" ca="1" si="384"/>
        <v>13.899999999999853</v>
      </c>
      <c r="D863" s="306">
        <f t="shared" ca="1" si="385"/>
        <v>-5.1500500931954027</v>
      </c>
      <c r="E863" s="307">
        <f t="shared" ca="1" si="386"/>
        <v>-19.209832066638654</v>
      </c>
      <c r="F863" s="304">
        <f t="shared" ca="1" si="387"/>
        <v>19.888204141924948</v>
      </c>
      <c r="G863" s="306">
        <f t="shared" ca="1" si="388"/>
        <v>85.362466316804444</v>
      </c>
      <c r="H863" s="307">
        <f t="shared" ca="1" si="389"/>
        <v>154.82192106910506</v>
      </c>
      <c r="I863" s="304">
        <f t="shared" ca="1" si="390"/>
        <v>176.79529942624541</v>
      </c>
      <c r="J863" s="306">
        <f t="shared" ca="1" si="391"/>
        <v>1445.5021811702886</v>
      </c>
      <c r="K863" s="307">
        <f t="shared" ca="1" si="392"/>
        <v>3421.1881544001117</v>
      </c>
      <c r="L863" s="304">
        <f t="shared" ca="1" si="377"/>
        <v>3714.0281290770677</v>
      </c>
      <c r="M863" s="306">
        <f t="shared" ca="1" si="393"/>
        <v>1.066910303158072</v>
      </c>
      <c r="N863" s="304">
        <f t="shared" ca="1" si="394"/>
        <v>61.129457489980709</v>
      </c>
      <c r="P863" s="310">
        <f t="shared" ca="1" si="395"/>
        <v>23</v>
      </c>
      <c r="Q863" s="304">
        <f t="shared" ca="1" si="396"/>
        <v>0</v>
      </c>
      <c r="R863" s="306">
        <f t="shared" ca="1" si="397"/>
        <v>0</v>
      </c>
      <c r="S863" s="307">
        <f t="shared" ca="1" si="398"/>
        <v>15.089040186296437</v>
      </c>
      <c r="T863" s="304">
        <f t="shared" ca="1" si="378"/>
        <v>148.02348422756805</v>
      </c>
      <c r="U863" s="311">
        <f t="shared" ca="1" si="379"/>
        <v>0</v>
      </c>
      <c r="V863" s="306">
        <f t="shared" ca="1" si="380"/>
        <v>0.86712272566942461</v>
      </c>
      <c r="W863" s="304">
        <f t="shared" ca="1" si="381"/>
        <v>157.99693219422002</v>
      </c>
      <c r="Y863" s="314" t="str">
        <f t="shared" ca="1" si="399"/>
        <v/>
      </c>
      <c r="Z863" s="315" t="str">
        <f t="shared" ca="1" si="400"/>
        <v/>
      </c>
      <c r="AA863" s="316" t="str">
        <f t="shared" ca="1" si="401"/>
        <v/>
      </c>
      <c r="AC863" s="310" t="e">
        <f t="shared" ca="1" si="402"/>
        <v>#N/A</v>
      </c>
      <c r="AD863" s="323" t="e">
        <f t="shared" ca="1" si="403"/>
        <v>#N/A</v>
      </c>
      <c r="AE863" s="324">
        <f t="shared" ca="1" si="382"/>
        <v>3421.1881544001117</v>
      </c>
      <c r="AG863" s="306">
        <f t="shared" ca="1" si="404"/>
        <v>-19.321543590355979</v>
      </c>
      <c r="AH863" s="304">
        <f t="shared" ca="1" si="405"/>
        <v>-10.718202220681892</v>
      </c>
    </row>
    <row r="864" spans="1:34" x14ac:dyDescent="0.2">
      <c r="A864" s="347">
        <f t="shared" ca="1" si="383"/>
        <v>0.1</v>
      </c>
      <c r="B864" s="304">
        <f t="shared" ca="1" si="384"/>
        <v>13.999999999999853</v>
      </c>
      <c r="D864" s="306">
        <f t="shared" ca="1" si="385"/>
        <v>-5.0557230980061716</v>
      </c>
      <c r="E864" s="307">
        <f t="shared" ca="1" si="386"/>
        <v>-18.979565925166732</v>
      </c>
      <c r="F864" s="304">
        <f t="shared" ca="1" si="387"/>
        <v>19.641391466784199</v>
      </c>
      <c r="G864" s="306">
        <f t="shared" ca="1" si="388"/>
        <v>84.856894007003831</v>
      </c>
      <c r="H864" s="307">
        <f t="shared" ca="1" si="389"/>
        <v>152.9239644765884</v>
      </c>
      <c r="I864" s="304">
        <f t="shared" ca="1" si="390"/>
        <v>174.8897692026402</v>
      </c>
      <c r="J864" s="306">
        <f t="shared" ca="1" si="391"/>
        <v>1454.013149186479</v>
      </c>
      <c r="K864" s="307">
        <f t="shared" ca="1" si="392"/>
        <v>3436.5754486773963</v>
      </c>
      <c r="L864" s="304">
        <f t="shared" ca="1" si="377"/>
        <v>3731.5151148641257</v>
      </c>
      <c r="M864" s="306">
        <f t="shared" ca="1" si="393"/>
        <v>1.0642019744447742</v>
      </c>
      <c r="N864" s="304">
        <f t="shared" ca="1" si="394"/>
        <v>60.974281685174645</v>
      </c>
      <c r="P864" s="310">
        <f t="shared" ca="1" si="395"/>
        <v>23</v>
      </c>
      <c r="Q864" s="304">
        <f t="shared" ca="1" si="396"/>
        <v>0</v>
      </c>
      <c r="R864" s="306">
        <f t="shared" ca="1" si="397"/>
        <v>0</v>
      </c>
      <c r="S864" s="307">
        <f t="shared" ca="1" si="398"/>
        <v>15.089040186296437</v>
      </c>
      <c r="T864" s="304">
        <f t="shared" ca="1" si="378"/>
        <v>148.02348422756805</v>
      </c>
      <c r="U864" s="311">
        <f t="shared" ca="1" si="379"/>
        <v>0</v>
      </c>
      <c r="V864" s="306">
        <f t="shared" ca="1" si="380"/>
        <v>0.86574914154171945</v>
      </c>
      <c r="W864" s="304">
        <f t="shared" ca="1" si="381"/>
        <v>154.36453780430435</v>
      </c>
      <c r="Y864" s="314" t="str">
        <f t="shared" ca="1" si="399"/>
        <v/>
      </c>
      <c r="Z864" s="315" t="str">
        <f t="shared" ca="1" si="400"/>
        <v/>
      </c>
      <c r="AA864" s="316" t="str">
        <f t="shared" ca="1" si="401"/>
        <v/>
      </c>
      <c r="AC864" s="310">
        <f t="shared" ca="1" si="402"/>
        <v>13.999999999999853</v>
      </c>
      <c r="AD864" s="323">
        <f t="shared" ca="1" si="403"/>
        <v>1454.013149186479</v>
      </c>
      <c r="AE864" s="324">
        <f t="shared" ca="1" si="382"/>
        <v>3436.5754486773963</v>
      </c>
      <c r="AG864" s="306">
        <f t="shared" ca="1" si="404"/>
        <v>-19.061716353259552</v>
      </c>
      <c r="AH864" s="304">
        <f t="shared" ca="1" si="405"/>
        <v>-10.470972987248697</v>
      </c>
    </row>
    <row r="865" spans="1:34" x14ac:dyDescent="0.2">
      <c r="A865" s="347">
        <f t="shared" ca="1" si="383"/>
        <v>0.1</v>
      </c>
      <c r="B865" s="304">
        <f t="shared" ca="1" si="384"/>
        <v>14.099999999999852</v>
      </c>
      <c r="D865" s="306">
        <f t="shared" ca="1" si="385"/>
        <v>-4.9637356946862816</v>
      </c>
      <c r="E865" s="307">
        <f t="shared" ca="1" si="386"/>
        <v>-18.755344393382192</v>
      </c>
      <c r="F865" s="304">
        <f t="shared" ca="1" si="387"/>
        <v>19.401072531204957</v>
      </c>
      <c r="G865" s="306">
        <f t="shared" ca="1" si="388"/>
        <v>84.3605204375352</v>
      </c>
      <c r="H865" s="307">
        <f t="shared" ca="1" si="389"/>
        <v>151.04843003725017</v>
      </c>
      <c r="I865" s="304">
        <f t="shared" ca="1" si="390"/>
        <v>173.00961136656497</v>
      </c>
      <c r="J865" s="306">
        <f t="shared" ca="1" si="391"/>
        <v>1462.4740199087059</v>
      </c>
      <c r="K865" s="307">
        <f t="shared" ca="1" si="392"/>
        <v>3451.7740684030882</v>
      </c>
      <c r="L865" s="304">
        <f t="shared" ca="1" si="377"/>
        <v>3748.8097415323623</v>
      </c>
      <c r="M865" s="306">
        <f t="shared" ca="1" si="393"/>
        <v>1.0614507751504672</v>
      </c>
      <c r="N865" s="304">
        <f t="shared" ca="1" si="394"/>
        <v>60.816649577011489</v>
      </c>
      <c r="P865" s="310">
        <f t="shared" ca="1" si="395"/>
        <v>23</v>
      </c>
      <c r="Q865" s="304">
        <f t="shared" ca="1" si="396"/>
        <v>0</v>
      </c>
      <c r="R865" s="306">
        <f t="shared" ca="1" si="397"/>
        <v>0</v>
      </c>
      <c r="S865" s="307">
        <f t="shared" ca="1" si="398"/>
        <v>15.089040186296437</v>
      </c>
      <c r="T865" s="304">
        <f t="shared" ca="1" si="378"/>
        <v>148.02348422756805</v>
      </c>
      <c r="U865" s="311">
        <f t="shared" ca="1" si="379"/>
        <v>0</v>
      </c>
      <c r="V865" s="306">
        <f t="shared" ca="1" si="380"/>
        <v>0.86439416937409475</v>
      </c>
      <c r="W865" s="304">
        <f t="shared" ca="1" si="381"/>
        <v>150.8269496769249</v>
      </c>
      <c r="Y865" s="314" t="str">
        <f t="shared" ca="1" si="399"/>
        <v/>
      </c>
      <c r="Z865" s="315" t="str">
        <f t="shared" ca="1" si="400"/>
        <v/>
      </c>
      <c r="AA865" s="316" t="str">
        <f t="shared" ca="1" si="401"/>
        <v/>
      </c>
      <c r="AC865" s="310" t="e">
        <f t="shared" ca="1" si="402"/>
        <v>#N/A</v>
      </c>
      <c r="AD865" s="323" t="e">
        <f t="shared" ca="1" si="403"/>
        <v>#N/A</v>
      </c>
      <c r="AE865" s="324">
        <f t="shared" ca="1" si="382"/>
        <v>3451.7740684030882</v>
      </c>
      <c r="AG865" s="306">
        <f t="shared" ca="1" si="404"/>
        <v>-18.808125989755595</v>
      </c>
      <c r="AH865" s="304">
        <f t="shared" ca="1" si="405"/>
        <v>-10.230242341358142</v>
      </c>
    </row>
    <row r="866" spans="1:34" x14ac:dyDescent="0.2">
      <c r="A866" s="347">
        <f t="shared" ca="1" si="383"/>
        <v>0.1</v>
      </c>
      <c r="B866" s="304">
        <f t="shared" ca="1" si="384"/>
        <v>14.199999999999852</v>
      </c>
      <c r="D866" s="306">
        <f t="shared" ca="1" si="385"/>
        <v>-4.8740092890107043</v>
      </c>
      <c r="E866" s="307">
        <f t="shared" ca="1" si="386"/>
        <v>-18.536966681496104</v>
      </c>
      <c r="F866" s="304">
        <f t="shared" ca="1" si="387"/>
        <v>19.167031598561611</v>
      </c>
      <c r="G866" s="306">
        <f t="shared" ca="1" si="388"/>
        <v>83.873119508634133</v>
      </c>
      <c r="H866" s="307">
        <f t="shared" ca="1" si="389"/>
        <v>149.19473336910056</v>
      </c>
      <c r="I866" s="304">
        <f t="shared" ca="1" si="390"/>
        <v>171.15422472491477</v>
      </c>
      <c r="J866" s="306">
        <f t="shared" ca="1" si="391"/>
        <v>1470.8857019060144</v>
      </c>
      <c r="K866" s="307">
        <f t="shared" ca="1" si="392"/>
        <v>3466.7862265734057</v>
      </c>
      <c r="L866" s="304">
        <f t="shared" ca="1" si="377"/>
        <v>3765.9144293027452</v>
      </c>
      <c r="M866" s="306">
        <f t="shared" ca="1" si="393"/>
        <v>1.0586559736425976</v>
      </c>
      <c r="N866" s="304">
        <f t="shared" ca="1" si="394"/>
        <v>60.65651924603376</v>
      </c>
      <c r="P866" s="310">
        <f t="shared" ca="1" si="395"/>
        <v>23</v>
      </c>
      <c r="Q866" s="304">
        <f t="shared" ca="1" si="396"/>
        <v>0</v>
      </c>
      <c r="R866" s="306">
        <f t="shared" ca="1" si="397"/>
        <v>0</v>
      </c>
      <c r="S866" s="307">
        <f t="shared" ca="1" si="398"/>
        <v>15.089040186296437</v>
      </c>
      <c r="T866" s="304">
        <f t="shared" ca="1" si="378"/>
        <v>148.02348422756805</v>
      </c>
      <c r="U866" s="311">
        <f t="shared" ca="1" si="379"/>
        <v>0</v>
      </c>
      <c r="V866" s="306">
        <f t="shared" ca="1" si="380"/>
        <v>0.86305754341057572</v>
      </c>
      <c r="W866" s="304">
        <f t="shared" ca="1" si="381"/>
        <v>147.38105400445016</v>
      </c>
      <c r="Y866" s="314" t="str">
        <f t="shared" ca="1" si="399"/>
        <v/>
      </c>
      <c r="Z866" s="315" t="str">
        <f t="shared" ca="1" si="400"/>
        <v/>
      </c>
      <c r="AA866" s="316" t="str">
        <f t="shared" ca="1" si="401"/>
        <v/>
      </c>
      <c r="AC866" s="310" t="e">
        <f t="shared" ca="1" si="402"/>
        <v>#N/A</v>
      </c>
      <c r="AD866" s="323" t="e">
        <f t="shared" ca="1" si="403"/>
        <v>#N/A</v>
      </c>
      <c r="AE866" s="324">
        <f t="shared" ca="1" si="382"/>
        <v>3466.7862265734057</v>
      </c>
      <c r="AG866" s="306">
        <f t="shared" ca="1" si="404"/>
        <v>-18.560550768058068</v>
      </c>
      <c r="AH866" s="304">
        <f t="shared" ca="1" si="405"/>
        <v>-9.995794816286784</v>
      </c>
    </row>
    <row r="867" spans="1:34" x14ac:dyDescent="0.2">
      <c r="A867" s="347">
        <f t="shared" ca="1" si="383"/>
        <v>0.1</v>
      </c>
      <c r="B867" s="304">
        <f t="shared" ca="1" si="384"/>
        <v>14.299999999999851</v>
      </c>
      <c r="D867" s="306">
        <f t="shared" ca="1" si="385"/>
        <v>-4.7864686129682292</v>
      </c>
      <c r="E867" s="307">
        <f t="shared" ca="1" si="386"/>
        <v>-18.324240470307657</v>
      </c>
      <c r="F867" s="304">
        <f t="shared" ca="1" si="387"/>
        <v>18.939062030538654</v>
      </c>
      <c r="G867" s="306">
        <f t="shared" ca="1" si="388"/>
        <v>83.394472647337309</v>
      </c>
      <c r="H867" s="307">
        <f t="shared" ca="1" si="389"/>
        <v>147.36230932206979</v>
      </c>
      <c r="I867" s="304">
        <f t="shared" ca="1" si="390"/>
        <v>169.32302937539495</v>
      </c>
      <c r="J867" s="306">
        <f t="shared" ca="1" si="391"/>
        <v>1479.2490815138131</v>
      </c>
      <c r="K867" s="307">
        <f t="shared" ca="1" si="392"/>
        <v>3481.6140787079644</v>
      </c>
      <c r="L867" s="304">
        <f t="shared" ca="1" si="377"/>
        <v>3782.8315371183221</v>
      </c>
      <c r="M867" s="306">
        <f t="shared" ca="1" si="393"/>
        <v>1.0558168210578938</v>
      </c>
      <c r="N867" s="304">
        <f t="shared" ca="1" si="394"/>
        <v>60.493847785536573</v>
      </c>
      <c r="P867" s="310">
        <f t="shared" ca="1" si="395"/>
        <v>23</v>
      </c>
      <c r="Q867" s="304">
        <f t="shared" ca="1" si="396"/>
        <v>0</v>
      </c>
      <c r="R867" s="306">
        <f t="shared" ca="1" si="397"/>
        <v>0</v>
      </c>
      <c r="S867" s="307">
        <f t="shared" ca="1" si="398"/>
        <v>15.089040186296437</v>
      </c>
      <c r="T867" s="304">
        <f t="shared" ca="1" si="378"/>
        <v>148.02348422756805</v>
      </c>
      <c r="U867" s="311">
        <f t="shared" ca="1" si="379"/>
        <v>0</v>
      </c>
      <c r="V867" s="306">
        <f t="shared" ca="1" si="380"/>
        <v>0.86173900506826429</v>
      </c>
      <c r="W867" s="304">
        <f t="shared" ca="1" si="381"/>
        <v>144.02386744636695</v>
      </c>
      <c r="Y867" s="314" t="str">
        <f t="shared" ca="1" si="399"/>
        <v/>
      </c>
      <c r="Z867" s="315" t="str">
        <f t="shared" ca="1" si="400"/>
        <v/>
      </c>
      <c r="AA867" s="316" t="str">
        <f t="shared" ca="1" si="401"/>
        <v/>
      </c>
      <c r="AC867" s="310" t="e">
        <f t="shared" ca="1" si="402"/>
        <v>#N/A</v>
      </c>
      <c r="AD867" s="323" t="e">
        <f t="shared" ca="1" si="403"/>
        <v>#N/A</v>
      </c>
      <c r="AE867" s="324">
        <f t="shared" ca="1" si="382"/>
        <v>3481.6140787079644</v>
      </c>
      <c r="AG867" s="306">
        <f t="shared" ca="1" si="404"/>
        <v>-18.318777875321913</v>
      </c>
      <c r="AH867" s="304">
        <f t="shared" ca="1" si="405"/>
        <v>-9.7674240498278131</v>
      </c>
    </row>
    <row r="868" spans="1:34" x14ac:dyDescent="0.2">
      <c r="A868" s="347">
        <f t="shared" ca="1" si="383"/>
        <v>0.1</v>
      </c>
      <c r="B868" s="304">
        <f t="shared" ca="1" si="384"/>
        <v>14.399999999999851</v>
      </c>
      <c r="D868" s="306">
        <f t="shared" ca="1" si="385"/>
        <v>-4.7010415578967164</v>
      </c>
      <c r="E868" s="307">
        <f t="shared" ca="1" si="386"/>
        <v>-18.116981484495298</v>
      </c>
      <c r="F868" s="304">
        <f t="shared" ca="1" si="387"/>
        <v>18.71696582885745</v>
      </c>
      <c r="G868" s="306">
        <f t="shared" ca="1" si="388"/>
        <v>82.924368491547639</v>
      </c>
      <c r="H868" s="307">
        <f t="shared" ca="1" si="389"/>
        <v>145.55061117362027</v>
      </c>
      <c r="I868" s="304">
        <f t="shared" ca="1" si="390"/>
        <v>167.51546586132389</v>
      </c>
      <c r="J868" s="306">
        <f t="shared" ca="1" si="391"/>
        <v>1487.5650235707574</v>
      </c>
      <c r="K868" s="307">
        <f t="shared" ca="1" si="392"/>
        <v>3496.259724732749</v>
      </c>
      <c r="L868" s="304">
        <f t="shared" ca="1" si="377"/>
        <v>3799.5633646696019</v>
      </c>
      <c r="M868" s="306">
        <f t="shared" ca="1" si="393"/>
        <v>1.0529325508975422</v>
      </c>
      <c r="N868" s="304">
        <f t="shared" ca="1" si="394"/>
        <v>60.328591278372912</v>
      </c>
      <c r="P868" s="310">
        <f t="shared" ca="1" si="395"/>
        <v>23</v>
      </c>
      <c r="Q868" s="304">
        <f t="shared" ca="1" si="396"/>
        <v>0</v>
      </c>
      <c r="R868" s="306">
        <f t="shared" ca="1" si="397"/>
        <v>0</v>
      </c>
      <c r="S868" s="307">
        <f t="shared" ca="1" si="398"/>
        <v>15.089040186296437</v>
      </c>
      <c r="T868" s="304">
        <f t="shared" ca="1" si="378"/>
        <v>148.02348422756805</v>
      </c>
      <c r="U868" s="311">
        <f t="shared" ca="1" si="379"/>
        <v>0</v>
      </c>
      <c r="V868" s="306">
        <f t="shared" ca="1" si="380"/>
        <v>0.86043830269382737</v>
      </c>
      <c r="W868" s="304">
        <f t="shared" ca="1" si="381"/>
        <v>140.75253062261649</v>
      </c>
      <c r="Y868" s="314" t="str">
        <f t="shared" ca="1" si="399"/>
        <v/>
      </c>
      <c r="Z868" s="315" t="str">
        <f t="shared" ca="1" si="400"/>
        <v/>
      </c>
      <c r="AA868" s="316" t="str">
        <f t="shared" ca="1" si="401"/>
        <v/>
      </c>
      <c r="AC868" s="310" t="e">
        <f t="shared" ca="1" si="402"/>
        <v>#N/A</v>
      </c>
      <c r="AD868" s="323" t="e">
        <f t="shared" ca="1" si="403"/>
        <v>#N/A</v>
      </c>
      <c r="AE868" s="324">
        <f t="shared" ca="1" si="382"/>
        <v>3496.259724732749</v>
      </c>
      <c r="AG868" s="306">
        <f t="shared" ca="1" si="404"/>
        <v>-18.082602953708694</v>
      </c>
      <c r="AH868" s="304">
        <f t="shared" ca="1" si="405"/>
        <v>-9.5449323262566779</v>
      </c>
    </row>
    <row r="869" spans="1:34" x14ac:dyDescent="0.2">
      <c r="A869" s="347">
        <f t="shared" ca="1" si="383"/>
        <v>0.1</v>
      </c>
      <c r="B869" s="304">
        <f t="shared" ca="1" si="384"/>
        <v>14.499999999999851</v>
      </c>
      <c r="D869" s="306">
        <f t="shared" ca="1" si="385"/>
        <v>-4.6176590174118068</v>
      </c>
      <c r="E869" s="307">
        <f t="shared" ca="1" si="386"/>
        <v>-17.915013090864523</v>
      </c>
      <c r="F869" s="304">
        <f t="shared" ca="1" si="387"/>
        <v>18.500553203808035</v>
      </c>
      <c r="G869" s="306">
        <f t="shared" ca="1" si="388"/>
        <v>82.462602589806465</v>
      </c>
      <c r="H869" s="307">
        <f t="shared" ca="1" si="389"/>
        <v>143.75910986453383</v>
      </c>
      <c r="I869" s="304">
        <f t="shared" ca="1" si="390"/>
        <v>165.73099437017646</v>
      </c>
      <c r="J869" s="306">
        <f t="shared" ca="1" si="391"/>
        <v>1495.834372124825</v>
      </c>
      <c r="K869" s="307">
        <f t="shared" ca="1" si="392"/>
        <v>3510.7252107846566</v>
      </c>
      <c r="L869" s="304">
        <f t="shared" ca="1" si="377"/>
        <v>3816.1121543357503</v>
      </c>
      <c r="M869" s="306">
        <f t="shared" ca="1" si="393"/>
        <v>1.0500023786133188</v>
      </c>
      <c r="N869" s="304">
        <f t="shared" ca="1" si="394"/>
        <v>60.160704773240703</v>
      </c>
      <c r="P869" s="310">
        <f t="shared" ca="1" si="395"/>
        <v>23</v>
      </c>
      <c r="Q869" s="304">
        <f t="shared" ca="1" si="396"/>
        <v>0</v>
      </c>
      <c r="R869" s="306">
        <f t="shared" ca="1" si="397"/>
        <v>0</v>
      </c>
      <c r="S869" s="307">
        <f t="shared" ca="1" si="398"/>
        <v>15.089040186296437</v>
      </c>
      <c r="T869" s="304">
        <f t="shared" ca="1" si="378"/>
        <v>148.02348422756805</v>
      </c>
      <c r="U869" s="311">
        <f t="shared" ca="1" si="379"/>
        <v>0</v>
      </c>
      <c r="V869" s="306">
        <f t="shared" ca="1" si="380"/>
        <v>0.85915519133042739</v>
      </c>
      <c r="W869" s="304">
        <f t="shared" ca="1" si="381"/>
        <v>137.56430198463821</v>
      </c>
      <c r="Y869" s="314" t="str">
        <f t="shared" ca="1" si="399"/>
        <v/>
      </c>
      <c r="Z869" s="315" t="str">
        <f t="shared" ca="1" si="400"/>
        <v/>
      </c>
      <c r="AA869" s="316" t="str">
        <f t="shared" ca="1" si="401"/>
        <v/>
      </c>
      <c r="AC869" s="310" t="e">
        <f t="shared" ca="1" si="402"/>
        <v>#N/A</v>
      </c>
      <c r="AD869" s="323" t="e">
        <f t="shared" ca="1" si="403"/>
        <v>#N/A</v>
      </c>
      <c r="AE869" s="324">
        <f t="shared" ca="1" si="382"/>
        <v>3510.7252107846566</v>
      </c>
      <c r="AG869" s="306">
        <f t="shared" ca="1" si="404"/>
        <v>-17.85182966307443</v>
      </c>
      <c r="AH869" s="304">
        <f t="shared" ca="1" si="405"/>
        <v>-9.3281301451132137</v>
      </c>
    </row>
    <row r="870" spans="1:34" x14ac:dyDescent="0.2">
      <c r="A870" s="347">
        <f t="shared" ca="1" si="383"/>
        <v>0.1</v>
      </c>
      <c r="B870" s="304">
        <f t="shared" ca="1" si="384"/>
        <v>14.59999999999985</v>
      </c>
      <c r="D870" s="306">
        <f t="shared" ca="1" si="385"/>
        <v>-4.5362547394782267</v>
      </c>
      <c r="E870" s="307">
        <f t="shared" ca="1" si="386"/>
        <v>-17.718165919890271</v>
      </c>
      <c r="F870" s="304">
        <f t="shared" ca="1" si="387"/>
        <v>18.289642167800871</v>
      </c>
      <c r="G870" s="306">
        <f t="shared" ca="1" si="388"/>
        <v>82.008977115858642</v>
      </c>
      <c r="H870" s="307">
        <f t="shared" ca="1" si="389"/>
        <v>141.9872932725448</v>
      </c>
      <c r="I870" s="304">
        <f t="shared" ca="1" si="390"/>
        <v>163.96909397338595</v>
      </c>
      <c r="J870" s="306">
        <f t="shared" ca="1" si="391"/>
        <v>1504.0579511101082</v>
      </c>
      <c r="K870" s="307">
        <f t="shared" ca="1" si="392"/>
        <v>3525.0125309415107</v>
      </c>
      <c r="L870" s="304">
        <f t="shared" ca="1" si="377"/>
        <v>3832.4800930457827</v>
      </c>
      <c r="M870" s="306">
        <f t="shared" ca="1" si="393"/>
        <v>1.0470255011846508</v>
      </c>
      <c r="N870" s="304">
        <f t="shared" ca="1" si="394"/>
        <v>59.990142260450263</v>
      </c>
      <c r="P870" s="310">
        <f t="shared" ca="1" si="395"/>
        <v>23</v>
      </c>
      <c r="Q870" s="304">
        <f t="shared" ca="1" si="396"/>
        <v>0</v>
      </c>
      <c r="R870" s="306">
        <f t="shared" ca="1" si="397"/>
        <v>0</v>
      </c>
      <c r="S870" s="307">
        <f t="shared" ca="1" si="398"/>
        <v>15.089040186296437</v>
      </c>
      <c r="T870" s="304">
        <f t="shared" ca="1" si="378"/>
        <v>148.02348422756805</v>
      </c>
      <c r="U870" s="311">
        <f t="shared" ca="1" si="379"/>
        <v>0</v>
      </c>
      <c r="V870" s="306">
        <f t="shared" ca="1" si="380"/>
        <v>0.85788943249455274</v>
      </c>
      <c r="W870" s="304">
        <f t="shared" ca="1" si="381"/>
        <v>134.45655203919776</v>
      </c>
      <c r="Y870" s="314" t="str">
        <f t="shared" ca="1" si="399"/>
        <v/>
      </c>
      <c r="Z870" s="315" t="str">
        <f t="shared" ca="1" si="400"/>
        <v/>
      </c>
      <c r="AA870" s="316" t="str">
        <f t="shared" ca="1" si="401"/>
        <v/>
      </c>
      <c r="AC870" s="310" t="e">
        <f t="shared" ca="1" si="402"/>
        <v>#N/A</v>
      </c>
      <c r="AD870" s="323" t="e">
        <f t="shared" ca="1" si="403"/>
        <v>#N/A</v>
      </c>
      <c r="AE870" s="324">
        <f t="shared" ca="1" si="382"/>
        <v>3525.0125309415107</v>
      </c>
      <c r="AG870" s="306">
        <f t="shared" ca="1" si="404"/>
        <v>-17.626269268489594</v>
      </c>
      <c r="AH870" s="304">
        <f t="shared" ca="1" si="405"/>
        <v>-9.1168358150156781</v>
      </c>
    </row>
    <row r="871" spans="1:34" x14ac:dyDescent="0.2">
      <c r="A871" s="347">
        <f t="shared" ca="1" si="383"/>
        <v>0.1</v>
      </c>
      <c r="B871" s="304">
        <f t="shared" ca="1" si="384"/>
        <v>14.69999999999985</v>
      </c>
      <c r="D871" s="306">
        <f t="shared" ca="1" si="385"/>
        <v>-4.4567651870213609</v>
      </c>
      <c r="E871" s="307">
        <f t="shared" ca="1" si="386"/>
        <v>-17.526277509015536</v>
      </c>
      <c r="F871" s="304">
        <f t="shared" ca="1" si="387"/>
        <v>18.084058152286211</v>
      </c>
      <c r="G871" s="306">
        <f t="shared" ca="1" si="388"/>
        <v>81.563300597156513</v>
      </c>
      <c r="H871" s="307">
        <f t="shared" ca="1" si="389"/>
        <v>140.23466552164325</v>
      </c>
      <c r="I871" s="304">
        <f t="shared" ca="1" si="390"/>
        <v>162.22926190508687</v>
      </c>
      <c r="J871" s="306">
        <f t="shared" ca="1" si="391"/>
        <v>1512.236564995759</v>
      </c>
      <c r="K871" s="307">
        <f t="shared" ca="1" si="392"/>
        <v>3539.1236288812202</v>
      </c>
      <c r="L871" s="304">
        <f t="shared" ca="1" si="377"/>
        <v>3848.6693140636999</v>
      </c>
      <c r="M871" s="306">
        <f t="shared" ca="1" si="393"/>
        <v>1.0440010966866109</v>
      </c>
      <c r="N871" s="304">
        <f t="shared" ca="1" si="394"/>
        <v>59.816856647172195</v>
      </c>
      <c r="P871" s="310">
        <f t="shared" ca="1" si="395"/>
        <v>23</v>
      </c>
      <c r="Q871" s="304">
        <f t="shared" ca="1" si="396"/>
        <v>0</v>
      </c>
      <c r="R871" s="306">
        <f t="shared" ca="1" si="397"/>
        <v>0</v>
      </c>
      <c r="S871" s="307">
        <f t="shared" ca="1" si="398"/>
        <v>15.089040186296437</v>
      </c>
      <c r="T871" s="304">
        <f t="shared" ca="1" si="378"/>
        <v>148.02348422756805</v>
      </c>
      <c r="U871" s="311">
        <f t="shared" ca="1" si="379"/>
        <v>0</v>
      </c>
      <c r="V871" s="306">
        <f t="shared" ca="1" si="380"/>
        <v>0.8566407939622559</v>
      </c>
      <c r="W871" s="304">
        <f t="shared" ca="1" si="381"/>
        <v>131.42675790191666</v>
      </c>
      <c r="Y871" s="314" t="str">
        <f t="shared" ca="1" si="399"/>
        <v/>
      </c>
      <c r="Z871" s="315" t="str">
        <f t="shared" ca="1" si="400"/>
        <v/>
      </c>
      <c r="AA871" s="316" t="str">
        <f t="shared" ca="1" si="401"/>
        <v/>
      </c>
      <c r="AC871" s="310" t="e">
        <f t="shared" ca="1" si="402"/>
        <v>#N/A</v>
      </c>
      <c r="AD871" s="323" t="e">
        <f t="shared" ca="1" si="403"/>
        <v>#N/A</v>
      </c>
      <c r="AE871" s="324">
        <f t="shared" ca="1" si="382"/>
        <v>3539.1236288812202</v>
      </c>
      <c r="AG871" s="306">
        <f t="shared" ca="1" si="404"/>
        <v>-17.405740250934258</v>
      </c>
      <c r="AH871" s="304">
        <f t="shared" ca="1" si="405"/>
        <v>-8.9108750708549707</v>
      </c>
    </row>
    <row r="872" spans="1:34" x14ac:dyDescent="0.2">
      <c r="A872" s="347">
        <f t="shared" ca="1" si="383"/>
        <v>0.1</v>
      </c>
      <c r="B872" s="304">
        <f t="shared" ca="1" si="384"/>
        <v>14.79999999999985</v>
      </c>
      <c r="D872" s="306">
        <f t="shared" ca="1" si="385"/>
        <v>-4.3791294065212378</v>
      </c>
      <c r="E872" s="307">
        <f t="shared" ca="1" si="386"/>
        <v>-17.339191966281305</v>
      </c>
      <c r="F872" s="304">
        <f t="shared" ca="1" si="387"/>
        <v>17.883633646510802</v>
      </c>
      <c r="G872" s="306">
        <f t="shared" ca="1" si="388"/>
        <v>81.125387656504387</v>
      </c>
      <c r="H872" s="307">
        <f t="shared" ca="1" si="389"/>
        <v>138.50074632501511</v>
      </c>
      <c r="I872" s="304">
        <f t="shared" ca="1" si="390"/>
        <v>160.51101287763498</v>
      </c>
      <c r="J872" s="306">
        <f t="shared" ca="1" si="391"/>
        <v>1520.370999408442</v>
      </c>
      <c r="K872" s="307">
        <f t="shared" ca="1" si="392"/>
        <v>3553.0603994735529</v>
      </c>
      <c r="L872" s="304">
        <f t="shared" ca="1" si="377"/>
        <v>3864.6818987012875</v>
      </c>
      <c r="M872" s="306">
        <f t="shared" ca="1" si="393"/>
        <v>1.0409283238488596</v>
      </c>
      <c r="N872" s="304">
        <f t="shared" ca="1" si="394"/>
        <v>59.640799732166613</v>
      </c>
      <c r="P872" s="310">
        <f t="shared" ca="1" si="395"/>
        <v>23</v>
      </c>
      <c r="Q872" s="304">
        <f t="shared" ca="1" si="396"/>
        <v>0</v>
      </c>
      <c r="R872" s="306">
        <f t="shared" ca="1" si="397"/>
        <v>0</v>
      </c>
      <c r="S872" s="307">
        <f t="shared" ca="1" si="398"/>
        <v>15.089040186296437</v>
      </c>
      <c r="T872" s="304">
        <f t="shared" ca="1" si="378"/>
        <v>148.02348422756805</v>
      </c>
      <c r="U872" s="311">
        <f t="shared" ca="1" si="379"/>
        <v>0</v>
      </c>
      <c r="V872" s="306">
        <f t="shared" ca="1" si="380"/>
        <v>0.85540904956432851</v>
      </c>
      <c r="W872" s="304">
        <f t="shared" ca="1" si="381"/>
        <v>128.47249815910999</v>
      </c>
      <c r="Y872" s="314" t="str">
        <f t="shared" ca="1" si="399"/>
        <v/>
      </c>
      <c r="Z872" s="315" t="str">
        <f t="shared" ca="1" si="400"/>
        <v/>
      </c>
      <c r="AA872" s="316" t="str">
        <f t="shared" ca="1" si="401"/>
        <v/>
      </c>
      <c r="AC872" s="310" t="e">
        <f t="shared" ca="1" si="402"/>
        <v>#N/A</v>
      </c>
      <c r="AD872" s="323" t="e">
        <f t="shared" ca="1" si="403"/>
        <v>#N/A</v>
      </c>
      <c r="AE872" s="324">
        <f t="shared" ca="1" si="382"/>
        <v>3553.0603994735529</v>
      </c>
      <c r="AG872" s="306">
        <f t="shared" ca="1" si="404"/>
        <v>-17.190067939633018</v>
      </c>
      <c r="AH872" s="304">
        <f t="shared" ca="1" si="405"/>
        <v>-8.7100807128392308</v>
      </c>
    </row>
    <row r="873" spans="1:34" x14ac:dyDescent="0.2">
      <c r="A873" s="347">
        <f t="shared" ca="1" si="383"/>
        <v>0.1</v>
      </c>
      <c r="B873" s="304">
        <f t="shared" ca="1" si="384"/>
        <v>14.899999999999849</v>
      </c>
      <c r="D873" s="306">
        <f t="shared" ca="1" si="385"/>
        <v>-4.303288904071958</v>
      </c>
      <c r="E873" s="307">
        <f t="shared" ca="1" si="386"/>
        <v>-17.156759652967114</v>
      </c>
      <c r="F873" s="304">
        <f t="shared" ca="1" si="387"/>
        <v>17.688207856693371</v>
      </c>
      <c r="G873" s="306">
        <f t="shared" ca="1" si="388"/>
        <v>80.695058766097191</v>
      </c>
      <c r="H873" s="307">
        <f t="shared" ca="1" si="389"/>
        <v>136.78507035971839</v>
      </c>
      <c r="I873" s="304">
        <f t="shared" ca="1" si="390"/>
        <v>158.81387843188324</v>
      </c>
      <c r="J873" s="306">
        <f t="shared" ca="1" si="391"/>
        <v>1528.4620217295721</v>
      </c>
      <c r="K873" s="307">
        <f t="shared" ca="1" si="392"/>
        <v>3566.8246903077898</v>
      </c>
      <c r="L873" s="304">
        <f t="shared" ca="1" si="377"/>
        <v>3880.5198779620896</v>
      </c>
      <c r="M873" s="306">
        <f t="shared" ca="1" si="393"/>
        <v>1.0378063216055773</v>
      </c>
      <c r="N873" s="304">
        <f t="shared" ca="1" si="394"/>
        <v>59.461922179996158</v>
      </c>
      <c r="P873" s="310">
        <f t="shared" ca="1" si="395"/>
        <v>23</v>
      </c>
      <c r="Q873" s="304">
        <f t="shared" ca="1" si="396"/>
        <v>0</v>
      </c>
      <c r="R873" s="306">
        <f t="shared" ca="1" si="397"/>
        <v>0</v>
      </c>
      <c r="S873" s="307">
        <f t="shared" ca="1" si="398"/>
        <v>15.089040186296437</v>
      </c>
      <c r="T873" s="304">
        <f t="shared" ca="1" si="378"/>
        <v>148.02348422756805</v>
      </c>
      <c r="U873" s="311">
        <f t="shared" ca="1" si="379"/>
        <v>0</v>
      </c>
      <c r="V873" s="306">
        <f t="shared" ca="1" si="380"/>
        <v>0.85419397898996507</v>
      </c>
      <c r="W873" s="304">
        <f t="shared" ca="1" si="381"/>
        <v>125.59144801809192</v>
      </c>
      <c r="Y873" s="314" t="str">
        <f t="shared" ca="1" si="399"/>
        <v/>
      </c>
      <c r="Z873" s="315" t="str">
        <f t="shared" ca="1" si="400"/>
        <v/>
      </c>
      <c r="AA873" s="316" t="str">
        <f t="shared" ca="1" si="401"/>
        <v/>
      </c>
      <c r="AC873" s="310" t="e">
        <f t="shared" ca="1" si="402"/>
        <v>#N/A</v>
      </c>
      <c r="AD873" s="323" t="e">
        <f t="shared" ca="1" si="403"/>
        <v>#N/A</v>
      </c>
      <c r="AE873" s="324">
        <f t="shared" ca="1" si="382"/>
        <v>3566.8246903077898</v>
      </c>
      <c r="AG873" s="306">
        <f t="shared" ca="1" si="404"/>
        <v>-16.97908416460664</v>
      </c>
      <c r="AH873" s="304">
        <f t="shared" ca="1" si="405"/>
        <v>-8.5142922659710418</v>
      </c>
    </row>
    <row r="874" spans="1:34" x14ac:dyDescent="0.2">
      <c r="A874" s="347">
        <f t="shared" ca="1" si="383"/>
        <v>0.1</v>
      </c>
      <c r="B874" s="304">
        <f t="shared" ca="1" si="384"/>
        <v>14.999999999999849</v>
      </c>
      <c r="D874" s="306">
        <f t="shared" ca="1" si="385"/>
        <v>-4.2291875284271754</v>
      </c>
      <c r="E874" s="307">
        <f t="shared" ca="1" si="386"/>
        <v>-16.978836884017468</v>
      </c>
      <c r="F874" s="304">
        <f t="shared" ca="1" si="387"/>
        <v>17.497626384303558</v>
      </c>
      <c r="G874" s="306">
        <f t="shared" ca="1" si="388"/>
        <v>80.272140013254472</v>
      </c>
      <c r="H874" s="307">
        <f t="shared" ca="1" si="389"/>
        <v>135.08718667131663</v>
      </c>
      <c r="I874" s="304">
        <f t="shared" ca="1" si="390"/>
        <v>157.13740632032423</v>
      </c>
      <c r="J874" s="306">
        <f t="shared" ca="1" si="391"/>
        <v>1536.5103816685398</v>
      </c>
      <c r="K874" s="307">
        <f t="shared" ca="1" si="392"/>
        <v>3580.4183031593416</v>
      </c>
      <c r="L874" s="304">
        <f t="shared" ca="1" si="377"/>
        <v>3896.1852341198592</v>
      </c>
      <c r="M874" s="306">
        <f t="shared" ca="1" si="393"/>
        <v>1.0346342086364573</v>
      </c>
      <c r="N874" s="304">
        <f t="shared" ca="1" si="394"/>
        <v>59.280173494726867</v>
      </c>
      <c r="P874" s="310">
        <f t="shared" ca="1" si="395"/>
        <v>23</v>
      </c>
      <c r="Q874" s="304">
        <f t="shared" ca="1" si="396"/>
        <v>0</v>
      </c>
      <c r="R874" s="306">
        <f t="shared" ca="1" si="397"/>
        <v>0</v>
      </c>
      <c r="S874" s="307">
        <f t="shared" ca="1" si="398"/>
        <v>15.089040186296437</v>
      </c>
      <c r="T874" s="304">
        <f t="shared" ca="1" si="378"/>
        <v>148.02348422756805</v>
      </c>
      <c r="U874" s="311">
        <f t="shared" ca="1" si="379"/>
        <v>0</v>
      </c>
      <c r="V874" s="306">
        <f t="shared" ca="1" si="380"/>
        <v>0.85299536759850025</v>
      </c>
      <c r="W874" s="304">
        <f t="shared" ca="1" si="381"/>
        <v>122.78137472753656</v>
      </c>
      <c r="Y874" s="314" t="str">
        <f t="shared" ca="1" si="399"/>
        <v/>
      </c>
      <c r="Z874" s="315" t="str">
        <f t="shared" ca="1" si="400"/>
        <v/>
      </c>
      <c r="AA874" s="316" t="str">
        <f t="shared" ca="1" si="401"/>
        <v/>
      </c>
      <c r="AC874" s="310">
        <f t="shared" ca="1" si="402"/>
        <v>14.999999999999849</v>
      </c>
      <c r="AD874" s="323">
        <f t="shared" ca="1" si="403"/>
        <v>1536.5103816685398</v>
      </c>
      <c r="AE874" s="324">
        <f t="shared" ca="1" si="382"/>
        <v>3580.4183031593416</v>
      </c>
      <c r="AG874" s="306">
        <f t="shared" ca="1" si="404"/>
        <v>-16.77262692812004</v>
      </c>
      <c r="AH874" s="304">
        <f t="shared" ca="1" si="405"/>
        <v>-8.3233556586423276</v>
      </c>
    </row>
    <row r="875" spans="1:34" x14ac:dyDescent="0.2">
      <c r="A875" s="347">
        <f t="shared" ca="1" si="383"/>
        <v>0.1</v>
      </c>
      <c r="B875" s="304">
        <f t="shared" ca="1" si="384"/>
        <v>15.099999999999849</v>
      </c>
      <c r="D875" s="306">
        <f t="shared" ca="1" si="385"/>
        <v>-4.156771360586708</v>
      </c>
      <c r="E875" s="307">
        <f t="shared" ca="1" si="386"/>
        <v>-16.80528564511723</v>
      </c>
      <c r="F875" s="304">
        <f t="shared" ca="1" si="387"/>
        <v>17.311740922223194</v>
      </c>
      <c r="G875" s="306">
        <f t="shared" ca="1" si="388"/>
        <v>79.856462877195796</v>
      </c>
      <c r="H875" s="307">
        <f t="shared" ca="1" si="389"/>
        <v>133.40665810680491</v>
      </c>
      <c r="I875" s="304">
        <f t="shared" ca="1" si="390"/>
        <v>155.48115992133222</v>
      </c>
      <c r="J875" s="306">
        <f t="shared" ca="1" si="391"/>
        <v>1544.5168118130623</v>
      </c>
      <c r="K875" s="307">
        <f t="shared" ca="1" si="392"/>
        <v>3593.8429953982477</v>
      </c>
      <c r="L875" s="304">
        <f t="shared" ca="1" si="377"/>
        <v>3911.679902234619</v>
      </c>
      <c r="M875" s="306">
        <f t="shared" ca="1" si="393"/>
        <v>1.0314110828988521</v>
      </c>
      <c r="N875" s="304">
        <f t="shared" ca="1" si="394"/>
        <v>59.095501993122106</v>
      </c>
      <c r="P875" s="310">
        <f t="shared" ca="1" si="395"/>
        <v>23</v>
      </c>
      <c r="Q875" s="304">
        <f t="shared" ca="1" si="396"/>
        <v>0</v>
      </c>
      <c r="R875" s="306">
        <f t="shared" ca="1" si="397"/>
        <v>0</v>
      </c>
      <c r="S875" s="307">
        <f t="shared" ca="1" si="398"/>
        <v>15.089040186296437</v>
      </c>
      <c r="T875" s="304">
        <f t="shared" ca="1" si="378"/>
        <v>148.02348422756805</v>
      </c>
      <c r="U875" s="311">
        <f t="shared" ca="1" si="379"/>
        <v>0</v>
      </c>
      <c r="V875" s="306">
        <f t="shared" ca="1" si="380"/>
        <v>0.85181300623883016</v>
      </c>
      <c r="W875" s="304">
        <f t="shared" ca="1" si="381"/>
        <v>120.04013325079914</v>
      </c>
      <c r="Y875" s="314" t="str">
        <f t="shared" ca="1" si="399"/>
        <v/>
      </c>
      <c r="Z875" s="315" t="str">
        <f t="shared" ca="1" si="400"/>
        <v/>
      </c>
      <c r="AA875" s="316" t="str">
        <f t="shared" ca="1" si="401"/>
        <v/>
      </c>
      <c r="AC875" s="310" t="e">
        <f t="shared" ca="1" si="402"/>
        <v>#N/A</v>
      </c>
      <c r="AD875" s="323" t="e">
        <f t="shared" ca="1" si="403"/>
        <v>#N/A</v>
      </c>
      <c r="AE875" s="324">
        <f t="shared" ca="1" si="382"/>
        <v>3593.8429953982477</v>
      </c>
      <c r="AG875" s="306">
        <f t="shared" ca="1" si="404"/>
        <v>-16.570540093801128</v>
      </c>
      <c r="AH875" s="304">
        <f t="shared" ca="1" si="405"/>
        <v>-8.1371229191267016</v>
      </c>
    </row>
    <row r="876" spans="1:34" x14ac:dyDescent="0.2">
      <c r="A876" s="347">
        <f t="shared" ca="1" si="383"/>
        <v>0.1</v>
      </c>
      <c r="B876" s="304">
        <f t="shared" ca="1" si="384"/>
        <v>15.199999999999848</v>
      </c>
      <c r="D876" s="306">
        <f t="shared" ca="1" si="385"/>
        <v>-4.0859886095113414</v>
      </c>
      <c r="E876" s="307">
        <f t="shared" ca="1" si="386"/>
        <v>-16.635973325360492</v>
      </c>
      <c r="F876" s="304">
        <f t="shared" ca="1" si="387"/>
        <v>17.130408967656386</v>
      </c>
      <c r="G876" s="306">
        <f t="shared" ca="1" si="388"/>
        <v>79.447864016244665</v>
      </c>
      <c r="H876" s="307">
        <f t="shared" ca="1" si="389"/>
        <v>131.74306077426886</v>
      </c>
      <c r="I876" s="304">
        <f t="shared" ca="1" si="390"/>
        <v>153.84471768285189</v>
      </c>
      <c r="J876" s="306">
        <f t="shared" ca="1" si="391"/>
        <v>1552.4820281577342</v>
      </c>
      <c r="K876" s="307">
        <f t="shared" ca="1" si="392"/>
        <v>3607.1004813423015</v>
      </c>
      <c r="L876" s="304">
        <f t="shared" ca="1" si="377"/>
        <v>3927.0057716092824</v>
      </c>
      <c r="M876" s="306">
        <f t="shared" ca="1" si="393"/>
        <v>1.028136021151201</v>
      </c>
      <c r="N876" s="304">
        <f t="shared" ca="1" si="394"/>
        <v>58.907854777336951</v>
      </c>
      <c r="P876" s="310">
        <f t="shared" ca="1" si="395"/>
        <v>23</v>
      </c>
      <c r="Q876" s="304">
        <f t="shared" ca="1" si="396"/>
        <v>0</v>
      </c>
      <c r="R876" s="306">
        <f t="shared" ca="1" si="397"/>
        <v>0</v>
      </c>
      <c r="S876" s="307">
        <f t="shared" ca="1" si="398"/>
        <v>15.089040186296437</v>
      </c>
      <c r="T876" s="304">
        <f t="shared" ca="1" si="378"/>
        <v>148.02348422756805</v>
      </c>
      <c r="U876" s="311">
        <f t="shared" ca="1" si="379"/>
        <v>0</v>
      </c>
      <c r="V876" s="306">
        <f t="shared" ca="1" si="380"/>
        <v>0.85064669107613566</v>
      </c>
      <c r="W876" s="304">
        <f t="shared" ca="1" si="381"/>
        <v>117.36566217630958</v>
      </c>
      <c r="Y876" s="314" t="str">
        <f t="shared" ca="1" si="399"/>
        <v/>
      </c>
      <c r="Z876" s="315" t="str">
        <f t="shared" ca="1" si="400"/>
        <v/>
      </c>
      <c r="AA876" s="316" t="str">
        <f t="shared" ca="1" si="401"/>
        <v/>
      </c>
      <c r="AC876" s="310" t="e">
        <f t="shared" ca="1" si="402"/>
        <v>#N/A</v>
      </c>
      <c r="AD876" s="323" t="e">
        <f t="shared" ca="1" si="403"/>
        <v>#N/A</v>
      </c>
      <c r="AE876" s="324">
        <f t="shared" ca="1" si="382"/>
        <v>3607.1004813423015</v>
      </c>
      <c r="AG876" s="306">
        <f t="shared" ca="1" si="404"/>
        <v>-16.372673092292228</v>
      </c>
      <c r="AH876" s="304">
        <f t="shared" ca="1" si="405"/>
        <v>-7.955451888836321</v>
      </c>
    </row>
    <row r="877" spans="1:34" x14ac:dyDescent="0.2">
      <c r="A877" s="347">
        <f t="shared" ca="1" si="383"/>
        <v>0.1</v>
      </c>
      <c r="B877" s="304">
        <f t="shared" ca="1" si="384"/>
        <v>15.299999999999848</v>
      </c>
      <c r="D877" s="306">
        <f t="shared" ca="1" si="385"/>
        <v>-4.0167895135819647</v>
      </c>
      <c r="E877" s="307">
        <f t="shared" ca="1" si="386"/>
        <v>-16.470772464531869</v>
      </c>
      <c r="F877" s="304">
        <f t="shared" ca="1" si="387"/>
        <v>16.953493550734706</v>
      </c>
      <c r="G877" s="306">
        <f t="shared" ca="1" si="388"/>
        <v>79.046185064886473</v>
      </c>
      <c r="H877" s="307">
        <f t="shared" ca="1" si="389"/>
        <v>130.09598352781566</v>
      </c>
      <c r="I877" s="304">
        <f t="shared" ca="1" si="390"/>
        <v>152.22767259398657</v>
      </c>
      <c r="J877" s="306">
        <f t="shared" ca="1" si="391"/>
        <v>1560.4067306117909</v>
      </c>
      <c r="K877" s="307">
        <f t="shared" ca="1" si="392"/>
        <v>3620.1924335574058</v>
      </c>
      <c r="L877" s="304">
        <f t="shared" ca="1" si="377"/>
        <v>3942.1646871896246</v>
      </c>
      <c r="M877" s="306">
        <f t="shared" ca="1" si="393"/>
        <v>1.024808078467905</v>
      </c>
      <c r="N877" s="304">
        <f t="shared" ca="1" si="394"/>
        <v>58.717177707122651</v>
      </c>
      <c r="P877" s="310">
        <f t="shared" ca="1" si="395"/>
        <v>23</v>
      </c>
      <c r="Q877" s="304">
        <f t="shared" ca="1" si="396"/>
        <v>0</v>
      </c>
      <c r="R877" s="306">
        <f t="shared" ca="1" si="397"/>
        <v>0</v>
      </c>
      <c r="S877" s="307">
        <f t="shared" ca="1" si="398"/>
        <v>15.089040186296437</v>
      </c>
      <c r="T877" s="304">
        <f t="shared" ca="1" si="378"/>
        <v>148.02348422756805</v>
      </c>
      <c r="U877" s="311">
        <f t="shared" ca="1" si="379"/>
        <v>0</v>
      </c>
      <c r="V877" s="306">
        <f t="shared" ca="1" si="380"/>
        <v>0.84949622342556741</v>
      </c>
      <c r="W877" s="304">
        <f t="shared" ca="1" si="381"/>
        <v>114.75597985027137</v>
      </c>
      <c r="Y877" s="314" t="str">
        <f t="shared" ca="1" si="399"/>
        <v/>
      </c>
      <c r="Z877" s="315" t="str">
        <f t="shared" ca="1" si="400"/>
        <v/>
      </c>
      <c r="AA877" s="316" t="str">
        <f t="shared" ca="1" si="401"/>
        <v/>
      </c>
      <c r="AC877" s="310" t="e">
        <f t="shared" ca="1" si="402"/>
        <v>#N/A</v>
      </c>
      <c r="AD877" s="323" t="e">
        <f t="shared" ca="1" si="403"/>
        <v>#N/A</v>
      </c>
      <c r="AE877" s="324">
        <f t="shared" ca="1" si="382"/>
        <v>3620.1924335574058</v>
      </c>
      <c r="AG877" s="306">
        <f t="shared" ca="1" si="404"/>
        <v>-16.178880642376132</v>
      </c>
      <c r="AH877" s="304">
        <f t="shared" ca="1" si="405"/>
        <v>-7.7782059512903095</v>
      </c>
    </row>
    <row r="878" spans="1:34" x14ac:dyDescent="0.2">
      <c r="A878" s="347">
        <f t="shared" ca="1" si="383"/>
        <v>0.1</v>
      </c>
      <c r="B878" s="304">
        <f t="shared" ca="1" si="384"/>
        <v>15.399999999999848</v>
      </c>
      <c r="D878" s="306">
        <f t="shared" ca="1" si="385"/>
        <v>-3.9491262474463626</v>
      </c>
      <c r="E878" s="307">
        <f t="shared" ca="1" si="386"/>
        <v>-16.309560514088226</v>
      </c>
      <c r="F878" s="304">
        <f t="shared" ca="1" si="387"/>
        <v>16.780862977838044</v>
      </c>
      <c r="G878" s="306">
        <f t="shared" ca="1" si="388"/>
        <v>78.651272440141838</v>
      </c>
      <c r="H878" s="307">
        <f t="shared" ca="1" si="389"/>
        <v>128.46502747640685</v>
      </c>
      <c r="I878" s="304">
        <f t="shared" ca="1" si="390"/>
        <v>150.62963168303699</v>
      </c>
      <c r="J878" s="306">
        <f t="shared" ca="1" si="391"/>
        <v>1568.2916034870423</v>
      </c>
      <c r="K878" s="307">
        <f t="shared" ca="1" si="392"/>
        <v>3633.1204841076169</v>
      </c>
      <c r="L878" s="304">
        <f t="shared" ca="1" si="377"/>
        <v>3957.1584509102395</v>
      </c>
      <c r="M878" s="306">
        <f t="shared" ca="1" si="393"/>
        <v>1.0214262877458475</v>
      </c>
      <c r="N878" s="304">
        <f t="shared" ca="1" si="394"/>
        <v>58.523415371552261</v>
      </c>
      <c r="P878" s="310">
        <f t="shared" ca="1" si="395"/>
        <v>23</v>
      </c>
      <c r="Q878" s="304">
        <f t="shared" ca="1" si="396"/>
        <v>0</v>
      </c>
      <c r="R878" s="306">
        <f t="shared" ca="1" si="397"/>
        <v>0</v>
      </c>
      <c r="S878" s="307">
        <f t="shared" ca="1" si="398"/>
        <v>15.089040186296437</v>
      </c>
      <c r="T878" s="304">
        <f t="shared" ca="1" si="378"/>
        <v>148.02348422756805</v>
      </c>
      <c r="U878" s="311">
        <f t="shared" ca="1" si="379"/>
        <v>0</v>
      </c>
      <c r="V878" s="306">
        <f t="shared" ca="1" si="380"/>
        <v>0.84836140959255268</v>
      </c>
      <c r="W878" s="304">
        <f t="shared" ca="1" si="381"/>
        <v>112.20918071792491</v>
      </c>
      <c r="Y878" s="314" t="str">
        <f t="shared" ca="1" si="399"/>
        <v/>
      </c>
      <c r="Z878" s="315" t="str">
        <f t="shared" ca="1" si="400"/>
        <v/>
      </c>
      <c r="AA878" s="316" t="str">
        <f t="shared" ca="1" si="401"/>
        <v/>
      </c>
      <c r="AC878" s="310" t="e">
        <f t="shared" ca="1" si="402"/>
        <v>#N/A</v>
      </c>
      <c r="AD878" s="323" t="e">
        <f t="shared" ca="1" si="403"/>
        <v>#N/A</v>
      </c>
      <c r="AE878" s="324">
        <f t="shared" ca="1" si="382"/>
        <v>3633.1204841076169</v>
      </c>
      <c r="AG878" s="306">
        <f t="shared" ca="1" si="404"/>
        <v>-15.989022486593079</v>
      </c>
      <c r="AH878" s="304">
        <f t="shared" ca="1" si="405"/>
        <v>-7.6052537758160685</v>
      </c>
    </row>
    <row r="879" spans="1:34" x14ac:dyDescent="0.2">
      <c r="A879" s="347">
        <f t="shared" ca="1" si="383"/>
        <v>0.1</v>
      </c>
      <c r="B879" s="304">
        <f t="shared" ca="1" si="384"/>
        <v>15.499999999999847</v>
      </c>
      <c r="D879" s="306">
        <f t="shared" ca="1" si="385"/>
        <v>-3.8829528339217925</v>
      </c>
      <c r="E879" s="307">
        <f t="shared" ca="1" si="386"/>
        <v>-16.152219610992162</v>
      </c>
      <c r="F879" s="304">
        <f t="shared" ca="1" si="387"/>
        <v>16.612390588719645</v>
      </c>
      <c r="G879" s="306">
        <f t="shared" ca="1" si="388"/>
        <v>78.262977156749656</v>
      </c>
      <c r="H879" s="307">
        <f t="shared" ca="1" si="389"/>
        <v>126.84980551530762</v>
      </c>
      <c r="I879" s="304">
        <f t="shared" ca="1" si="390"/>
        <v>149.05021554063345</v>
      </c>
      <c r="J879" s="306">
        <f t="shared" ca="1" si="391"/>
        <v>1576.1373159668869</v>
      </c>
      <c r="K879" s="307">
        <f t="shared" ca="1" si="392"/>
        <v>3645.8862257572027</v>
      </c>
      <c r="L879" s="304">
        <f t="shared" ca="1" si="377"/>
        <v>3971.9888229889825</v>
      </c>
      <c r="M879" s="306">
        <f t="shared" ca="1" si="393"/>
        <v>1.0179896592028015</v>
      </c>
      <c r="N879" s="304">
        <f t="shared" ca="1" si="394"/>
        <v>58.326511060281533</v>
      </c>
      <c r="P879" s="310">
        <f t="shared" ca="1" si="395"/>
        <v>23</v>
      </c>
      <c r="Q879" s="304">
        <f t="shared" ca="1" si="396"/>
        <v>0</v>
      </c>
      <c r="R879" s="306">
        <f t="shared" ca="1" si="397"/>
        <v>0</v>
      </c>
      <c r="S879" s="307">
        <f t="shared" ca="1" si="398"/>
        <v>15.089040186296437</v>
      </c>
      <c r="T879" s="304">
        <f t="shared" ca="1" si="378"/>
        <v>148.02348422756805</v>
      </c>
      <c r="U879" s="311">
        <f t="shared" ca="1" si="379"/>
        <v>0</v>
      </c>
      <c r="V879" s="306">
        <f t="shared" ca="1" si="380"/>
        <v>0.84724206071941766</v>
      </c>
      <c r="W879" s="304">
        <f t="shared" ca="1" si="381"/>
        <v>109.72343186058694</v>
      </c>
      <c r="Y879" s="314" t="str">
        <f t="shared" ca="1" si="399"/>
        <v/>
      </c>
      <c r="Z879" s="315" t="str">
        <f t="shared" ca="1" si="400"/>
        <v/>
      </c>
      <c r="AA879" s="316" t="str">
        <f t="shared" ca="1" si="401"/>
        <v/>
      </c>
      <c r="AC879" s="310" t="e">
        <f t="shared" ca="1" si="402"/>
        <v>#N/A</v>
      </c>
      <c r="AD879" s="323" t="e">
        <f t="shared" ca="1" si="403"/>
        <v>#N/A</v>
      </c>
      <c r="AE879" s="324">
        <f t="shared" ca="1" si="382"/>
        <v>3645.8862257572027</v>
      </c>
      <c r="AG879" s="306">
        <f t="shared" ca="1" si="404"/>
        <v>-15.802963140433246</v>
      </c>
      <c r="AH879" s="304">
        <f t="shared" ca="1" si="405"/>
        <v>-7.436469075072849</v>
      </c>
    </row>
    <row r="880" spans="1:34" x14ac:dyDescent="0.2">
      <c r="A880" s="347">
        <f t="shared" ca="1" si="383"/>
        <v>0.1</v>
      </c>
      <c r="B880" s="304">
        <f t="shared" ca="1" si="384"/>
        <v>15.599999999999847</v>
      </c>
      <c r="D880" s="306">
        <f t="shared" ca="1" si="385"/>
        <v>-3.8182250606445272</v>
      </c>
      <c r="E880" s="307">
        <f t="shared" ca="1" si="386"/>
        <v>-15.998636363607345</v>
      </c>
      <c r="F880" s="304">
        <f t="shared" ca="1" si="387"/>
        <v>16.44795452658698</v>
      </c>
      <c r="G880" s="306">
        <f t="shared" ca="1" si="388"/>
        <v>77.881154650685204</v>
      </c>
      <c r="H880" s="307">
        <f t="shared" ca="1" si="389"/>
        <v>125.24994187894688</v>
      </c>
      <c r="I880" s="304">
        <f t="shared" ca="1" si="390"/>
        <v>147.48905786668894</v>
      </c>
      <c r="J880" s="306">
        <f t="shared" ca="1" si="391"/>
        <v>1583.9445225572588</v>
      </c>
      <c r="K880" s="307">
        <f t="shared" ca="1" si="392"/>
        <v>3658.4912131269157</v>
      </c>
      <c r="L880" s="304">
        <f t="shared" ca="1" si="377"/>
        <v>3986.6575231722618</v>
      </c>
      <c r="M880" s="306">
        <f t="shared" ca="1" si="393"/>
        <v>1.0144971798680191</v>
      </c>
      <c r="N880" s="304">
        <f t="shared" ca="1" si="394"/>
        <v>58.126406734361844</v>
      </c>
      <c r="P880" s="310">
        <f t="shared" ca="1" si="395"/>
        <v>23</v>
      </c>
      <c r="Q880" s="304">
        <f t="shared" ca="1" si="396"/>
        <v>0</v>
      </c>
      <c r="R880" s="306">
        <f t="shared" ca="1" si="397"/>
        <v>0</v>
      </c>
      <c r="S880" s="307">
        <f t="shared" ca="1" si="398"/>
        <v>15.089040186296437</v>
      </c>
      <c r="T880" s="304">
        <f t="shared" ca="1" si="378"/>
        <v>148.02348422756805</v>
      </c>
      <c r="U880" s="311">
        <f t="shared" ca="1" si="379"/>
        <v>0</v>
      </c>
      <c r="V880" s="306">
        <f t="shared" ca="1" si="380"/>
        <v>0.84613799263802358</v>
      </c>
      <c r="W880" s="304">
        <f t="shared" ca="1" si="381"/>
        <v>107.29696971655434</v>
      </c>
      <c r="Y880" s="314" t="str">
        <f t="shared" ca="1" si="399"/>
        <v/>
      </c>
      <c r="Z880" s="315" t="str">
        <f t="shared" ca="1" si="400"/>
        <v/>
      </c>
      <c r="AA880" s="316" t="str">
        <f t="shared" ca="1" si="401"/>
        <v/>
      </c>
      <c r="AC880" s="310" t="e">
        <f t="shared" ca="1" si="402"/>
        <v>#N/A</v>
      </c>
      <c r="AD880" s="323" t="e">
        <f t="shared" ca="1" si="403"/>
        <v>#N/A</v>
      </c>
      <c r="AE880" s="324">
        <f t="shared" ca="1" si="382"/>
        <v>3658.4912131269157</v>
      </c>
      <c r="AG880" s="306">
        <f t="shared" ca="1" si="404"/>
        <v>-15.620571654252684</v>
      </c>
      <c r="AH880" s="304">
        <f t="shared" ca="1" si="405"/>
        <v>-7.2717303755500335</v>
      </c>
    </row>
    <row r="881" spans="1:34" x14ac:dyDescent="0.2">
      <c r="A881" s="347">
        <f t="shared" ca="1" si="383"/>
        <v>0.1</v>
      </c>
      <c r="B881" s="304">
        <f t="shared" ca="1" si="384"/>
        <v>15.699999999999847</v>
      </c>
      <c r="D881" s="306">
        <f t="shared" ca="1" si="385"/>
        <v>-3.7549004011787122</v>
      </c>
      <c r="E881" s="307">
        <f t="shared" ca="1" si="386"/>
        <v>-15.848701648919766</v>
      </c>
      <c r="F881" s="304">
        <f t="shared" ca="1" si="387"/>
        <v>16.287437520348135</v>
      </c>
      <c r="G881" s="306">
        <f t="shared" ca="1" si="388"/>
        <v>77.505664610567337</v>
      </c>
      <c r="H881" s="307">
        <f t="shared" ca="1" si="389"/>
        <v>123.6650717140549</v>
      </c>
      <c r="I881" s="304">
        <f t="shared" ca="1" si="390"/>
        <v>145.94580503998083</v>
      </c>
      <c r="J881" s="306">
        <f t="shared" ca="1" si="391"/>
        <v>1591.7138635203214</v>
      </c>
      <c r="K881" s="307">
        <f t="shared" ca="1" si="392"/>
        <v>3670.9369638065659</v>
      </c>
      <c r="L881" s="304">
        <f t="shared" ca="1" si="377"/>
        <v>4001.1662319334046</v>
      </c>
      <c r="M881" s="306">
        <f t="shared" ca="1" si="393"/>
        <v>1.0109478130653371</v>
      </c>
      <c r="N881" s="304">
        <f t="shared" ca="1" si="394"/>
        <v>57.923042996624318</v>
      </c>
      <c r="P881" s="310">
        <f t="shared" ca="1" si="395"/>
        <v>23</v>
      </c>
      <c r="Q881" s="304">
        <f t="shared" ca="1" si="396"/>
        <v>0</v>
      </c>
      <c r="R881" s="306">
        <f t="shared" ca="1" si="397"/>
        <v>0</v>
      </c>
      <c r="S881" s="307">
        <f t="shared" ca="1" si="398"/>
        <v>15.089040186296437</v>
      </c>
      <c r="T881" s="304">
        <f t="shared" ca="1" si="378"/>
        <v>148.02348422756805</v>
      </c>
      <c r="U881" s="311">
        <f t="shared" ca="1" si="379"/>
        <v>0</v>
      </c>
      <c r="V881" s="306">
        <f t="shared" ca="1" si="380"/>
        <v>0.84504902572814011</v>
      </c>
      <c r="W881" s="304">
        <f t="shared" ca="1" si="381"/>
        <v>104.9280969747722</v>
      </c>
      <c r="Y881" s="314" t="str">
        <f t="shared" ca="1" si="399"/>
        <v/>
      </c>
      <c r="Z881" s="315" t="str">
        <f t="shared" ca="1" si="400"/>
        <v/>
      </c>
      <c r="AA881" s="316" t="str">
        <f t="shared" ca="1" si="401"/>
        <v/>
      </c>
      <c r="AC881" s="310" t="e">
        <f t="shared" ca="1" si="402"/>
        <v>#N/A</v>
      </c>
      <c r="AD881" s="323" t="e">
        <f t="shared" ca="1" si="403"/>
        <v>#N/A</v>
      </c>
      <c r="AE881" s="324">
        <f t="shared" ca="1" si="382"/>
        <v>3670.9369638065659</v>
      </c>
      <c r="AG881" s="306">
        <f t="shared" ca="1" si="404"/>
        <v>-15.441721387119047</v>
      </c>
      <c r="AH881" s="304">
        <f t="shared" ca="1" si="405"/>
        <v>-7.1109208002507209</v>
      </c>
    </row>
    <row r="882" spans="1:34" x14ac:dyDescent="0.2">
      <c r="A882" s="347">
        <f t="shared" ca="1" si="383"/>
        <v>0.1</v>
      </c>
      <c r="B882" s="304">
        <f t="shared" ca="1" si="384"/>
        <v>15.799999999999846</v>
      </c>
      <c r="D882" s="306">
        <f t="shared" ca="1" si="385"/>
        <v>-3.692937940316567</v>
      </c>
      <c r="E882" s="307">
        <f t="shared" ca="1" si="386"/>
        <v>-15.702310420399085</v>
      </c>
      <c r="F882" s="304">
        <f t="shared" ca="1" si="387"/>
        <v>16.130726678287104</v>
      </c>
      <c r="G882" s="306">
        <f t="shared" ca="1" si="388"/>
        <v>77.136370816535674</v>
      </c>
      <c r="H882" s="307">
        <f t="shared" ca="1" si="389"/>
        <v>122.094840672015</v>
      </c>
      <c r="I882" s="304">
        <f t="shared" ca="1" si="390"/>
        <v>144.42011570924191</v>
      </c>
      <c r="J882" s="306">
        <f t="shared" ca="1" si="391"/>
        <v>1599.4459652916767</v>
      </c>
      <c r="K882" s="307">
        <f t="shared" ca="1" si="392"/>
        <v>3683.2249594258692</v>
      </c>
      <c r="L882" s="304">
        <f t="shared" ca="1" si="377"/>
        <v>4015.5165916262281</v>
      </c>
      <c r="M882" s="306">
        <f t="shared" ca="1" si="393"/>
        <v>1.0073404978891987</v>
      </c>
      <c r="N882" s="304">
        <f t="shared" ca="1" si="394"/>
        <v>57.716359061658096</v>
      </c>
      <c r="P882" s="310">
        <f t="shared" ca="1" si="395"/>
        <v>23</v>
      </c>
      <c r="Q882" s="304">
        <f t="shared" ca="1" si="396"/>
        <v>0</v>
      </c>
      <c r="R882" s="306">
        <f t="shared" ca="1" si="397"/>
        <v>0</v>
      </c>
      <c r="S882" s="307">
        <f t="shared" ca="1" si="398"/>
        <v>15.089040186296437</v>
      </c>
      <c r="T882" s="304">
        <f t="shared" ca="1" si="378"/>
        <v>148.02348422756805</v>
      </c>
      <c r="U882" s="311">
        <f t="shared" ca="1" si="379"/>
        <v>0</v>
      </c>
      <c r="V882" s="306">
        <f t="shared" ca="1" si="380"/>
        <v>0.84397498478128996</v>
      </c>
      <c r="W882" s="304">
        <f t="shared" ca="1" si="381"/>
        <v>102.61517963091624</v>
      </c>
      <c r="Y882" s="314" t="str">
        <f t="shared" ca="1" si="399"/>
        <v/>
      </c>
      <c r="Z882" s="315" t="str">
        <f t="shared" ca="1" si="400"/>
        <v/>
      </c>
      <c r="AA882" s="316" t="str">
        <f t="shared" ca="1" si="401"/>
        <v/>
      </c>
      <c r="AC882" s="310" t="e">
        <f t="shared" ca="1" si="402"/>
        <v>#N/A</v>
      </c>
      <c r="AD882" s="323" t="e">
        <f t="shared" ca="1" si="403"/>
        <v>#N/A</v>
      </c>
      <c r="AE882" s="324">
        <f t="shared" ca="1" si="382"/>
        <v>3683.2249594258692</v>
      </c>
      <c r="AG882" s="306">
        <f t="shared" ca="1" si="404"/>
        <v>-15.266289791847466</v>
      </c>
      <c r="AH882" s="304">
        <f t="shared" ca="1" si="405"/>
        <v>-6.9539278628249521</v>
      </c>
    </row>
    <row r="883" spans="1:34" x14ac:dyDescent="0.2">
      <c r="A883" s="347">
        <f t="shared" ca="1" si="383"/>
        <v>0.1</v>
      </c>
      <c r="B883" s="304">
        <f t="shared" ca="1" si="384"/>
        <v>15.899999999999846</v>
      </c>
      <c r="D883" s="306">
        <f t="shared" ca="1" si="385"/>
        <v>-3.6322983033200766</v>
      </c>
      <c r="E883" s="307">
        <f t="shared" ca="1" si="386"/>
        <v>-15.559361525860451</v>
      </c>
      <c r="F883" s="304">
        <f t="shared" ca="1" si="387"/>
        <v>15.977713292481136</v>
      </c>
      <c r="G883" s="306">
        <f t="shared" ca="1" si="388"/>
        <v>76.773140986203671</v>
      </c>
      <c r="H883" s="307">
        <f t="shared" ca="1" si="389"/>
        <v>120.53890451942895</v>
      </c>
      <c r="I883" s="304">
        <f t="shared" ca="1" si="390"/>
        <v>142.91166040471126</v>
      </c>
      <c r="J883" s="306">
        <f t="shared" ca="1" si="391"/>
        <v>1607.1414408818137</v>
      </c>
      <c r="K883" s="307">
        <f t="shared" ca="1" si="392"/>
        <v>3695.3566466854413</v>
      </c>
      <c r="L883" s="304">
        <f t="shared" ca="1" si="377"/>
        <v>4029.7102075958192</v>
      </c>
      <c r="M883" s="306">
        <f t="shared" ca="1" si="393"/>
        <v>1.0036741486740461</v>
      </c>
      <c r="N883" s="304">
        <f t="shared" ca="1" si="394"/>
        <v>57.506292725408755</v>
      </c>
      <c r="P883" s="310">
        <f t="shared" ca="1" si="395"/>
        <v>23</v>
      </c>
      <c r="Q883" s="304">
        <f t="shared" ca="1" si="396"/>
        <v>0</v>
      </c>
      <c r="R883" s="306">
        <f t="shared" ca="1" si="397"/>
        <v>0</v>
      </c>
      <c r="S883" s="307">
        <f t="shared" ca="1" si="398"/>
        <v>15.089040186296437</v>
      </c>
      <c r="T883" s="304">
        <f t="shared" ca="1" si="378"/>
        <v>148.02348422756805</v>
      </c>
      <c r="U883" s="311">
        <f t="shared" ca="1" si="379"/>
        <v>0</v>
      </c>
      <c r="V883" s="306">
        <f t="shared" ca="1" si="380"/>
        <v>0.84291569886981332</v>
      </c>
      <c r="W883" s="304">
        <f t="shared" ca="1" si="381"/>
        <v>100.35664419623336</v>
      </c>
      <c r="Y883" s="314" t="str">
        <f t="shared" ca="1" si="399"/>
        <v/>
      </c>
      <c r="Z883" s="315" t="str">
        <f t="shared" ca="1" si="400"/>
        <v/>
      </c>
      <c r="AA883" s="316" t="str">
        <f t="shared" ca="1" si="401"/>
        <v/>
      </c>
      <c r="AC883" s="310" t="e">
        <f t="shared" ca="1" si="402"/>
        <v>#N/A</v>
      </c>
      <c r="AD883" s="323" t="e">
        <f t="shared" ca="1" si="403"/>
        <v>#N/A</v>
      </c>
      <c r="AE883" s="324">
        <f t="shared" ca="1" si="382"/>
        <v>3695.3566466854413</v>
      </c>
      <c r="AG883" s="306">
        <f t="shared" ca="1" si="404"/>
        <v>-15.094158210537174</v>
      </c>
      <c r="AH883" s="304">
        <f t="shared" ca="1" si="405"/>
        <v>-6.8006432724666803</v>
      </c>
    </row>
    <row r="884" spans="1:34" x14ac:dyDescent="0.2">
      <c r="A884" s="347">
        <f t="shared" ca="1" si="383"/>
        <v>0.1</v>
      </c>
      <c r="B884" s="304">
        <f t="shared" ca="1" si="384"/>
        <v>15.999999999999845</v>
      </c>
      <c r="D884" s="306">
        <f t="shared" ca="1" si="385"/>
        <v>-3.572943588871103</v>
      </c>
      <c r="E884" s="307">
        <f t="shared" ca="1" si="386"/>
        <v>-15.419757534729939</v>
      </c>
      <c r="F884" s="304">
        <f t="shared" ca="1" si="387"/>
        <v>15.828292653319116</v>
      </c>
      <c r="G884" s="306">
        <f t="shared" ca="1" si="388"/>
        <v>76.415846627316554</v>
      </c>
      <c r="H884" s="307">
        <f t="shared" ca="1" si="389"/>
        <v>118.99692876595596</v>
      </c>
      <c r="I884" s="304">
        <f t="shared" ca="1" si="390"/>
        <v>141.42012116915882</v>
      </c>
      <c r="J884" s="306">
        <f t="shared" ca="1" si="391"/>
        <v>1614.8008902624897</v>
      </c>
      <c r="K884" s="307">
        <f t="shared" ca="1" si="392"/>
        <v>3707.3334383497104</v>
      </c>
      <c r="L884" s="304">
        <f t="shared" ca="1" si="377"/>
        <v>4043.748649248419</v>
      </c>
      <c r="M884" s="306">
        <f t="shared" ca="1" si="393"/>
        <v>0.99994765445760725</v>
      </c>
      <c r="N884" s="304">
        <f t="shared" ca="1" si="394"/>
        <v>57.292780334426894</v>
      </c>
      <c r="P884" s="310">
        <f t="shared" ca="1" si="395"/>
        <v>23</v>
      </c>
      <c r="Q884" s="304">
        <f t="shared" ca="1" si="396"/>
        <v>0</v>
      </c>
      <c r="R884" s="306">
        <f t="shared" ca="1" si="397"/>
        <v>0</v>
      </c>
      <c r="S884" s="307">
        <f t="shared" ca="1" si="398"/>
        <v>15.089040186296437</v>
      </c>
      <c r="T884" s="304">
        <f t="shared" ca="1" si="378"/>
        <v>148.02348422756805</v>
      </c>
      <c r="U884" s="311">
        <f t="shared" ca="1" si="379"/>
        <v>0</v>
      </c>
      <c r="V884" s="306">
        <f t="shared" ca="1" si="380"/>
        <v>0.84187100122091751</v>
      </c>
      <c r="W884" s="304">
        <f t="shared" ca="1" si="381"/>
        <v>98.150975050127073</v>
      </c>
      <c r="Y884" s="314" t="str">
        <f t="shared" ca="1" si="399"/>
        <v/>
      </c>
      <c r="Z884" s="315" t="str">
        <f t="shared" ca="1" si="400"/>
        <v/>
      </c>
      <c r="AA884" s="316" t="str">
        <f t="shared" ca="1" si="401"/>
        <v/>
      </c>
      <c r="AC884" s="310">
        <f t="shared" ca="1" si="402"/>
        <v>15.999999999999845</v>
      </c>
      <c r="AD884" s="323">
        <f t="shared" ca="1" si="403"/>
        <v>1614.8008902624897</v>
      </c>
      <c r="AE884" s="324">
        <f t="shared" ca="1" si="382"/>
        <v>3707.3334383497104</v>
      </c>
      <c r="AG884" s="306">
        <f t="shared" ca="1" si="404"/>
        <v>-14.925211679965859</v>
      </c>
      <c r="AH884" s="304">
        <f t="shared" ca="1" si="405"/>
        <v>-6.6509627489345045</v>
      </c>
    </row>
    <row r="885" spans="1:34" x14ac:dyDescent="0.2">
      <c r="A885" s="347">
        <f t="shared" ca="1" si="383"/>
        <v>0.1</v>
      </c>
      <c r="B885" s="304">
        <f t="shared" ca="1" si="384"/>
        <v>16.099999999999845</v>
      </c>
      <c r="D885" s="306">
        <f t="shared" ca="1" si="385"/>
        <v>-3.5148373055124202</v>
      </c>
      <c r="E885" s="307">
        <f t="shared" ca="1" si="386"/>
        <v>-15.283404574156371</v>
      </c>
      <c r="F885" s="304">
        <f t="shared" ca="1" si="387"/>
        <v>15.682363873522567</v>
      </c>
      <c r="G885" s="306">
        <f t="shared" ca="1" si="388"/>
        <v>76.064362896765317</v>
      </c>
      <c r="H885" s="307">
        <f t="shared" ca="1" si="389"/>
        <v>117.46858830854032</v>
      </c>
      <c r="I885" s="304">
        <f t="shared" ca="1" si="390"/>
        <v>139.94519120745858</v>
      </c>
      <c r="J885" s="306">
        <f t="shared" ca="1" si="391"/>
        <v>1622.4249007386939</v>
      </c>
      <c r="K885" s="307">
        <f t="shared" ca="1" si="392"/>
        <v>3719.1567142034351</v>
      </c>
      <c r="L885" s="304">
        <f t="shared" ca="1" si="377"/>
        <v>4057.6334510822257</v>
      </c>
      <c r="M885" s="306">
        <f t="shared" ca="1" si="393"/>
        <v>0.99615987843867304</v>
      </c>
      <c r="N885" s="304">
        <f t="shared" ca="1" si="394"/>
        <v>57.075756754801098</v>
      </c>
      <c r="P885" s="310">
        <f t="shared" ca="1" si="395"/>
        <v>23</v>
      </c>
      <c r="Q885" s="304">
        <f t="shared" ca="1" si="396"/>
        <v>0</v>
      </c>
      <c r="R885" s="306">
        <f t="shared" ca="1" si="397"/>
        <v>0</v>
      </c>
      <c r="S885" s="307">
        <f t="shared" ca="1" si="398"/>
        <v>15.089040186296437</v>
      </c>
      <c r="T885" s="304">
        <f t="shared" ca="1" si="378"/>
        <v>148.02348422756805</v>
      </c>
      <c r="U885" s="311">
        <f t="shared" ca="1" si="379"/>
        <v>0</v>
      </c>
      <c r="V885" s="306">
        <f t="shared" ca="1" si="380"/>
        <v>0.84084072909548113</v>
      </c>
      <c r="W885" s="304">
        <f t="shared" ca="1" si="381"/>
        <v>95.996711928069786</v>
      </c>
      <c r="Y885" s="314" t="str">
        <f t="shared" ca="1" si="399"/>
        <v/>
      </c>
      <c r="Z885" s="315" t="str">
        <f t="shared" ca="1" si="400"/>
        <v/>
      </c>
      <c r="AA885" s="316" t="str">
        <f t="shared" ca="1" si="401"/>
        <v/>
      </c>
      <c r="AC885" s="310" t="e">
        <f t="shared" ca="1" si="402"/>
        <v>#N/A</v>
      </c>
      <c r="AD885" s="323" t="e">
        <f t="shared" ca="1" si="403"/>
        <v>#N/A</v>
      </c>
      <c r="AE885" s="324">
        <f t="shared" ca="1" si="382"/>
        <v>3719.1567142034351</v>
      </c>
      <c r="AG885" s="306">
        <f t="shared" ca="1" si="404"/>
        <v>-14.75933874624182</v>
      </c>
      <c r="AH885" s="304">
        <f t="shared" ca="1" si="405"/>
        <v>-6.504785847098864</v>
      </c>
    </row>
    <row r="886" spans="1:34" x14ac:dyDescent="0.2">
      <c r="A886" s="347">
        <f t="shared" ca="1" si="383"/>
        <v>0.1</v>
      </c>
      <c r="B886" s="304">
        <f t="shared" ca="1" si="384"/>
        <v>16.199999999999847</v>
      </c>
      <c r="D886" s="306">
        <f t="shared" ca="1" si="385"/>
        <v>-3.4579443113765223</v>
      </c>
      <c r="E886" s="307">
        <f t="shared" ca="1" si="386"/>
        <v>-15.150212173448988</v>
      </c>
      <c r="F886" s="304">
        <f t="shared" ca="1" si="387"/>
        <v>15.539829721110305</v>
      </c>
      <c r="G886" s="306">
        <f t="shared" ca="1" si="388"/>
        <v>75.718568465627669</v>
      </c>
      <c r="H886" s="307">
        <f t="shared" ca="1" si="389"/>
        <v>115.95356709119542</v>
      </c>
      <c r="I886" s="304">
        <f t="shared" ca="1" si="390"/>
        <v>138.48657455384006</v>
      </c>
      <c r="J886" s="306">
        <f t="shared" ca="1" si="391"/>
        <v>1630.0140473068136</v>
      </c>
      <c r="K886" s="307">
        <f t="shared" ca="1" si="392"/>
        <v>3730.827821973422</v>
      </c>
      <c r="L886" s="304">
        <f t="shared" ca="1" si="377"/>
        <v>4071.3661136808228</v>
      </c>
      <c r="M886" s="306">
        <f t="shared" ca="1" si="393"/>
        <v>0.99230965743003863</v>
      </c>
      <c r="N886" s="304">
        <f t="shared" ca="1" si="394"/>
        <v>56.855155340813745</v>
      </c>
      <c r="P886" s="310">
        <f t="shared" ca="1" si="395"/>
        <v>23</v>
      </c>
      <c r="Q886" s="304">
        <f t="shared" ca="1" si="396"/>
        <v>0</v>
      </c>
      <c r="R886" s="306">
        <f t="shared" ca="1" si="397"/>
        <v>0</v>
      </c>
      <c r="S886" s="307">
        <f t="shared" ca="1" si="398"/>
        <v>15.089040186296437</v>
      </c>
      <c r="T886" s="304">
        <f t="shared" ca="1" si="378"/>
        <v>148.02348422756805</v>
      </c>
      <c r="U886" s="311">
        <f t="shared" ca="1" si="379"/>
        <v>0</v>
      </c>
      <c r="V886" s="306">
        <f t="shared" ca="1" si="380"/>
        <v>0.8398247236714067</v>
      </c>
      <c r="W886" s="304">
        <f t="shared" ca="1" si="381"/>
        <v>93.892447536975638</v>
      </c>
      <c r="Y886" s="314" t="str">
        <f t="shared" ca="1" si="399"/>
        <v/>
      </c>
      <c r="Z886" s="315" t="str">
        <f t="shared" ca="1" si="400"/>
        <v/>
      </c>
      <c r="AA886" s="316" t="str">
        <f t="shared" ca="1" si="401"/>
        <v/>
      </c>
      <c r="AC886" s="310" t="e">
        <f t="shared" ca="1" si="402"/>
        <v>#N/A</v>
      </c>
      <c r="AD886" s="323" t="e">
        <f t="shared" ca="1" si="403"/>
        <v>#N/A</v>
      </c>
      <c r="AE886" s="324">
        <f t="shared" ca="1" si="382"/>
        <v>3730.827821973422</v>
      </c>
      <c r="AG886" s="306">
        <f t="shared" ca="1" si="404"/>
        <v>-14.596431288154152</v>
      </c>
      <c r="AH886" s="304">
        <f t="shared" ca="1" si="405"/>
        <v>-6.3620157904577699</v>
      </c>
    </row>
    <row r="887" spans="1:34" x14ac:dyDescent="0.2">
      <c r="A887" s="347">
        <f t="shared" ca="1" si="383"/>
        <v>0.1</v>
      </c>
      <c r="B887" s="304">
        <f t="shared" ca="1" si="384"/>
        <v>16.299999999999848</v>
      </c>
      <c r="D887" s="306">
        <f t="shared" ca="1" si="385"/>
        <v>-3.4022307570124637</v>
      </c>
      <c r="E887" s="307">
        <f t="shared" ca="1" si="386"/>
        <v>-15.020093116354364</v>
      </c>
      <c r="F887" s="304">
        <f t="shared" ca="1" si="387"/>
        <v>15.400596460784152</v>
      </c>
      <c r="G887" s="306">
        <f t="shared" ca="1" si="388"/>
        <v>75.378345389926423</v>
      </c>
      <c r="H887" s="307">
        <f t="shared" ca="1" si="389"/>
        <v>114.45155777955999</v>
      </c>
      <c r="I887" s="304">
        <f t="shared" ca="1" si="390"/>
        <v>137.04398575600098</v>
      </c>
      <c r="J887" s="306">
        <f t="shared" ca="1" si="391"/>
        <v>1637.5688929995913</v>
      </c>
      <c r="K887" s="307">
        <f t="shared" ca="1" si="392"/>
        <v>3742.3480782169599</v>
      </c>
      <c r="L887" s="304">
        <f t="shared" ca="1" si="377"/>
        <v>4084.9481046708634</v>
      </c>
      <c r="M887" s="306">
        <f t="shared" ca="1" si="393"/>
        <v>0.98839580130736848</v>
      </c>
      <c r="N887" s="304">
        <f t="shared" ca="1" si="394"/>
        <v>56.630907903363308</v>
      </c>
      <c r="P887" s="310">
        <f t="shared" ca="1" si="395"/>
        <v>23</v>
      </c>
      <c r="Q887" s="304">
        <f t="shared" ca="1" si="396"/>
        <v>0</v>
      </c>
      <c r="R887" s="306">
        <f t="shared" ca="1" si="397"/>
        <v>0</v>
      </c>
      <c r="S887" s="307">
        <f t="shared" ca="1" si="398"/>
        <v>15.089040186296437</v>
      </c>
      <c r="T887" s="304">
        <f t="shared" ca="1" si="378"/>
        <v>148.02348422756805</v>
      </c>
      <c r="U887" s="311">
        <f t="shared" ca="1" si="379"/>
        <v>0</v>
      </c>
      <c r="V887" s="306">
        <f t="shared" ca="1" si="380"/>
        <v>0.83882282993131307</v>
      </c>
      <c r="W887" s="304">
        <f t="shared" ca="1" si="381"/>
        <v>91.836825290679968</v>
      </c>
      <c r="Y887" s="314" t="str">
        <f t="shared" ca="1" si="399"/>
        <v/>
      </c>
      <c r="Z887" s="315" t="str">
        <f t="shared" ca="1" si="400"/>
        <v/>
      </c>
      <c r="AA887" s="316" t="str">
        <f t="shared" ca="1" si="401"/>
        <v/>
      </c>
      <c r="AC887" s="310" t="e">
        <f t="shared" ca="1" si="402"/>
        <v>#N/A</v>
      </c>
      <c r="AD887" s="323" t="e">
        <f t="shared" ca="1" si="403"/>
        <v>#N/A</v>
      </c>
      <c r="AE887" s="324">
        <f t="shared" ca="1" si="382"/>
        <v>3742.3480782169599</v>
      </c>
      <c r="AG887" s="306">
        <f t="shared" ca="1" si="404"/>
        <v>-14.4363843486984</v>
      </c>
      <c r="AH887" s="304">
        <f t="shared" ca="1" si="405"/>
        <v>-6.2225593130997741</v>
      </c>
    </row>
    <row r="888" spans="1:34" x14ac:dyDescent="0.2">
      <c r="A888" s="347">
        <f t="shared" ca="1" si="383"/>
        <v>0.1</v>
      </c>
      <c r="B888" s="304">
        <f t="shared" ca="1" si="384"/>
        <v>16.399999999999849</v>
      </c>
      <c r="D888" s="306">
        <f t="shared" ca="1" si="385"/>
        <v>-3.3476640311333346</v>
      </c>
      <c r="E888" s="307">
        <f t="shared" ca="1" si="386"/>
        <v>-14.892963300717598</v>
      </c>
      <c r="F888" s="304">
        <f t="shared" ca="1" si="387"/>
        <v>15.264573703247173</v>
      </c>
      <c r="G888" s="306">
        <f t="shared" ca="1" si="388"/>
        <v>75.043578986813088</v>
      </c>
      <c r="H888" s="307">
        <f t="shared" ca="1" si="389"/>
        <v>112.96226144948822</v>
      </c>
      <c r="I888" s="304">
        <f t="shared" ca="1" si="390"/>
        <v>135.61714957531214</v>
      </c>
      <c r="J888" s="306">
        <f t="shared" ca="1" si="391"/>
        <v>1645.0899892184282</v>
      </c>
      <c r="K888" s="307">
        <f t="shared" ca="1" si="392"/>
        <v>3753.7187691784125</v>
      </c>
      <c r="L888" s="304">
        <f t="shared" ca="1" si="377"/>
        <v>4098.3808596455483</v>
      </c>
      <c r="M888" s="306">
        <f t="shared" ca="1" si="393"/>
        <v>0.98441709245484166</v>
      </c>
      <c r="N888" s="304">
        <f t="shared" ca="1" si="394"/>
        <v>56.402944678202182</v>
      </c>
      <c r="P888" s="310">
        <f t="shared" ca="1" si="395"/>
        <v>23</v>
      </c>
      <c r="Q888" s="304">
        <f t="shared" ca="1" si="396"/>
        <v>0</v>
      </c>
      <c r="R888" s="306">
        <f t="shared" ca="1" si="397"/>
        <v>0</v>
      </c>
      <c r="S888" s="307">
        <f t="shared" ca="1" si="398"/>
        <v>15.089040186296437</v>
      </c>
      <c r="T888" s="304">
        <f t="shared" ca="1" si="378"/>
        <v>148.02348422756805</v>
      </c>
      <c r="U888" s="311">
        <f t="shared" ca="1" si="379"/>
        <v>0</v>
      </c>
      <c r="V888" s="306">
        <f t="shared" ca="1" si="380"/>
        <v>0.83783489655438059</v>
      </c>
      <c r="W888" s="304">
        <f t="shared" ca="1" si="381"/>
        <v>89.828537158645389</v>
      </c>
      <c r="Y888" s="314" t="str">
        <f t="shared" ca="1" si="399"/>
        <v/>
      </c>
      <c r="Z888" s="315" t="str">
        <f t="shared" ca="1" si="400"/>
        <v/>
      </c>
      <c r="AA888" s="316" t="str">
        <f t="shared" ca="1" si="401"/>
        <v/>
      </c>
      <c r="AC888" s="310" t="e">
        <f t="shared" ca="1" si="402"/>
        <v>#N/A</v>
      </c>
      <c r="AD888" s="323" t="e">
        <f t="shared" ca="1" si="403"/>
        <v>#N/A</v>
      </c>
      <c r="AE888" s="324">
        <f t="shared" ca="1" si="382"/>
        <v>3753.7187691784125</v>
      </c>
      <c r="AG888" s="306">
        <f t="shared" ca="1" si="404"/>
        <v>-14.279095974289845</v>
      </c>
      <c r="AH888" s="304">
        <f t="shared" ca="1" si="405"/>
        <v>-6.0863265096267902</v>
      </c>
    </row>
    <row r="889" spans="1:34" x14ac:dyDescent="0.2">
      <c r="A889" s="347">
        <f t="shared" ca="1" si="383"/>
        <v>0.1</v>
      </c>
      <c r="B889" s="304">
        <f t="shared" ca="1" si="384"/>
        <v>16.499999999999851</v>
      </c>
      <c r="D889" s="306">
        <f t="shared" ca="1" si="385"/>
        <v>-3.2942127091184341</v>
      </c>
      <c r="E889" s="307">
        <f t="shared" ca="1" si="386"/>
        <v>-14.768741605101935</v>
      </c>
      <c r="F889" s="304">
        <f t="shared" ca="1" si="387"/>
        <v>15.131674261997127</v>
      </c>
      <c r="G889" s="306">
        <f t="shared" ca="1" si="388"/>
        <v>74.714157715901251</v>
      </c>
      <c r="H889" s="307">
        <f t="shared" ca="1" si="389"/>
        <v>111.48538728897803</v>
      </c>
      <c r="I889" s="304">
        <f t="shared" ca="1" si="390"/>
        <v>134.20580070239137</v>
      </c>
      <c r="J889" s="306">
        <f t="shared" ca="1" si="391"/>
        <v>1652.5778760535638</v>
      </c>
      <c r="K889" s="307">
        <f t="shared" ca="1" si="392"/>
        <v>3764.9411516153359</v>
      </c>
      <c r="L889" s="304">
        <f t="shared" ca="1" si="377"/>
        <v>4111.6657830553686</v>
      </c>
      <c r="M889" s="306">
        <f t="shared" ca="1" si="393"/>
        <v>0.98037228520852959</v>
      </c>
      <c r="N889" s="304">
        <f t="shared" ca="1" si="394"/>
        <v>56.171194294044568</v>
      </c>
      <c r="P889" s="310">
        <f t="shared" ca="1" si="395"/>
        <v>23</v>
      </c>
      <c r="Q889" s="304">
        <f t="shared" ca="1" si="396"/>
        <v>0</v>
      </c>
      <c r="R889" s="306">
        <f t="shared" ca="1" si="397"/>
        <v>0</v>
      </c>
      <c r="S889" s="307">
        <f t="shared" ca="1" si="398"/>
        <v>15.089040186296437</v>
      </c>
      <c r="T889" s="304">
        <f t="shared" ca="1" si="378"/>
        <v>148.02348422756805</v>
      </c>
      <c r="U889" s="311">
        <f t="shared" ca="1" si="379"/>
        <v>0</v>
      </c>
      <c r="V889" s="306">
        <f t="shared" ca="1" si="380"/>
        <v>0.83686077581216334</v>
      </c>
      <c r="W889" s="304">
        <f t="shared" ca="1" si="381"/>
        <v>87.866321621457374</v>
      </c>
      <c r="Y889" s="314" t="str">
        <f t="shared" ca="1" si="399"/>
        <v/>
      </c>
      <c r="Z889" s="315" t="str">
        <f t="shared" ca="1" si="400"/>
        <v/>
      </c>
      <c r="AA889" s="316" t="str">
        <f t="shared" ca="1" si="401"/>
        <v/>
      </c>
      <c r="AC889" s="310" t="e">
        <f t="shared" ca="1" si="402"/>
        <v>#N/A</v>
      </c>
      <c r="AD889" s="323" t="e">
        <f t="shared" ca="1" si="403"/>
        <v>#N/A</v>
      </c>
      <c r="AE889" s="324">
        <f t="shared" ca="1" si="382"/>
        <v>3764.9411516153359</v>
      </c>
      <c r="AG889" s="306">
        <f t="shared" ca="1" si="404"/>
        <v>-14.12446706120901</v>
      </c>
      <c r="AH889" s="304">
        <f t="shared" ca="1" si="405"/>
        <v>-5.9532306925808216</v>
      </c>
    </row>
    <row r="890" spans="1:34" x14ac:dyDescent="0.2">
      <c r="A890" s="347">
        <f t="shared" ca="1" si="383"/>
        <v>0.1</v>
      </c>
      <c r="B890" s="304">
        <f t="shared" ca="1" si="384"/>
        <v>16.599999999999852</v>
      </c>
      <c r="D890" s="306">
        <f t="shared" ca="1" si="385"/>
        <v>-3.2418465041149451</v>
      </c>
      <c r="E890" s="307">
        <f t="shared" ca="1" si="386"/>
        <v>-14.647349761968263</v>
      </c>
      <c r="F890" s="304">
        <f t="shared" ca="1" si="387"/>
        <v>15.001814017167192</v>
      </c>
      <c r="G890" s="306">
        <f t="shared" ca="1" si="388"/>
        <v>74.389973065489755</v>
      </c>
      <c r="H890" s="307">
        <f t="shared" ca="1" si="389"/>
        <v>110.02065231278121</v>
      </c>
      <c r="I890" s="304">
        <f t="shared" ca="1" si="390"/>
        <v>132.80968348736542</v>
      </c>
      <c r="J890" s="306">
        <f t="shared" ca="1" si="391"/>
        <v>1660.0330825926335</v>
      </c>
      <c r="K890" s="307">
        <f t="shared" ca="1" si="392"/>
        <v>3776.0164535954241</v>
      </c>
      <c r="L890" s="304">
        <f t="shared" ca="1" si="377"/>
        <v>4124.804249067508</v>
      </c>
      <c r="M890" s="306">
        <f t="shared" ca="1" si="393"/>
        <v>0.97626010529857343</v>
      </c>
      <c r="N890" s="304">
        <f t="shared" ca="1" si="394"/>
        <v>55.935583740605594</v>
      </c>
      <c r="P890" s="310">
        <f t="shared" ca="1" si="395"/>
        <v>23</v>
      </c>
      <c r="Q890" s="304">
        <f t="shared" ca="1" si="396"/>
        <v>0</v>
      </c>
      <c r="R890" s="306">
        <f t="shared" ca="1" si="397"/>
        <v>0</v>
      </c>
      <c r="S890" s="307">
        <f t="shared" ca="1" si="398"/>
        <v>15.089040186296437</v>
      </c>
      <c r="T890" s="304">
        <f t="shared" ca="1" si="378"/>
        <v>148.02348422756805</v>
      </c>
      <c r="U890" s="311">
        <f t="shared" ca="1" si="379"/>
        <v>0</v>
      </c>
      <c r="V890" s="306">
        <f t="shared" ca="1" si="380"/>
        <v>0.83590032346819776</v>
      </c>
      <c r="W890" s="304">
        <f t="shared" ca="1" si="381"/>
        <v>85.948961727079748</v>
      </c>
      <c r="Y890" s="314" t="str">
        <f t="shared" ca="1" si="399"/>
        <v/>
      </c>
      <c r="Z890" s="315" t="str">
        <f t="shared" ca="1" si="400"/>
        <v/>
      </c>
      <c r="AA890" s="316" t="str">
        <f t="shared" ca="1" si="401"/>
        <v/>
      </c>
      <c r="AC890" s="310" t="e">
        <f t="shared" ca="1" si="402"/>
        <v>#N/A</v>
      </c>
      <c r="AD890" s="323" t="e">
        <f t="shared" ca="1" si="403"/>
        <v>#N/A</v>
      </c>
      <c r="AE890" s="324">
        <f t="shared" ca="1" si="382"/>
        <v>3776.0164535954241</v>
      </c>
      <c r="AG890" s="306">
        <f t="shared" ca="1" si="404"/>
        <v>-13.972401208854201</v>
      </c>
      <c r="AH890" s="304">
        <f t="shared" ca="1" si="405"/>
        <v>-5.8231882569479669</v>
      </c>
    </row>
    <row r="891" spans="1:34" x14ac:dyDescent="0.2">
      <c r="A891" s="347">
        <f t="shared" ca="1" si="383"/>
        <v>0.1</v>
      </c>
      <c r="B891" s="304">
        <f t="shared" ca="1" si="384"/>
        <v>16.699999999999854</v>
      </c>
      <c r="D891" s="306">
        <f t="shared" ca="1" si="385"/>
        <v>-3.1905362205937289</v>
      </c>
      <c r="E891" s="307">
        <f t="shared" ca="1" si="386"/>
        <v>-14.528712237041011</v>
      </c>
      <c r="F891" s="304">
        <f t="shared" ca="1" si="387"/>
        <v>14.874911786012909</v>
      </c>
      <c r="G891" s="306">
        <f t="shared" ca="1" si="388"/>
        <v>74.070919443430384</v>
      </c>
      <c r="H891" s="307">
        <f t="shared" ca="1" si="389"/>
        <v>108.5677810890771</v>
      </c>
      <c r="I891" s="304">
        <f t="shared" ca="1" si="390"/>
        <v>131.42855168417904</v>
      </c>
      <c r="J891" s="306">
        <f t="shared" ca="1" si="391"/>
        <v>1667.4561272180795</v>
      </c>
      <c r="K891" s="307">
        <f t="shared" ca="1" si="392"/>
        <v>3786.9458752655169</v>
      </c>
      <c r="L891" s="304">
        <f t="shared" ca="1" si="377"/>
        <v>4137.7976023952197</v>
      </c>
      <c r="M891" s="306">
        <f t="shared" ca="1" si="393"/>
        <v>0.9720792492913457</v>
      </c>
      <c r="N891" s="304">
        <f t="shared" ca="1" si="394"/>
        <v>55.696038336639532</v>
      </c>
      <c r="P891" s="310">
        <f t="shared" ca="1" si="395"/>
        <v>23</v>
      </c>
      <c r="Q891" s="304">
        <f t="shared" ca="1" si="396"/>
        <v>0</v>
      </c>
      <c r="R891" s="306">
        <f t="shared" ca="1" si="397"/>
        <v>0</v>
      </c>
      <c r="S891" s="307">
        <f t="shared" ca="1" si="398"/>
        <v>15.089040186296437</v>
      </c>
      <c r="T891" s="304">
        <f t="shared" ca="1" si="378"/>
        <v>148.02348422756805</v>
      </c>
      <c r="U891" s="311">
        <f t="shared" ca="1" si="379"/>
        <v>0</v>
      </c>
      <c r="V891" s="306">
        <f t="shared" ca="1" si="380"/>
        <v>0.83495339868124407</v>
      </c>
      <c r="W891" s="304">
        <f t="shared" ca="1" si="381"/>
        <v>84.075283242223975</v>
      </c>
      <c r="Y891" s="314" t="str">
        <f t="shared" ca="1" si="399"/>
        <v/>
      </c>
      <c r="Z891" s="315" t="str">
        <f t="shared" ca="1" si="400"/>
        <v/>
      </c>
      <c r="AA891" s="316" t="str">
        <f t="shared" ca="1" si="401"/>
        <v/>
      </c>
      <c r="AC891" s="310" t="e">
        <f t="shared" ca="1" si="402"/>
        <v>#N/A</v>
      </c>
      <c r="AD891" s="323" t="e">
        <f t="shared" ca="1" si="403"/>
        <v>#N/A</v>
      </c>
      <c r="AE891" s="324">
        <f t="shared" ca="1" si="382"/>
        <v>3786.9458752655169</v>
      </c>
      <c r="AG891" s="306">
        <f t="shared" ca="1" si="404"/>
        <v>-13.82280457940419</v>
      </c>
      <c r="AH891" s="304">
        <f t="shared" ca="1" si="405"/>
        <v>-5.6961185513401222</v>
      </c>
    </row>
    <row r="892" spans="1:34" x14ac:dyDescent="0.2">
      <c r="A892" s="347">
        <f t="shared" ca="1" si="383"/>
        <v>0.1</v>
      </c>
      <c r="B892" s="304">
        <f t="shared" ca="1" si="384"/>
        <v>16.799999999999855</v>
      </c>
      <c r="D892" s="306">
        <f t="shared" ca="1" si="385"/>
        <v>-3.1402537102231451</v>
      </c>
      <c r="E892" s="307">
        <f t="shared" ca="1" si="386"/>
        <v>-14.412756114510564</v>
      </c>
      <c r="F892" s="304">
        <f t="shared" ca="1" si="387"/>
        <v>14.75088919966969</v>
      </c>
      <c r="G892" s="306">
        <f t="shared" ca="1" si="388"/>
        <v>73.756894072408073</v>
      </c>
      <c r="H892" s="307">
        <f t="shared" ca="1" si="389"/>
        <v>107.12650547762604</v>
      </c>
      <c r="I892" s="304">
        <f t="shared" ca="1" si="390"/>
        <v>130.06216820834669</v>
      </c>
      <c r="J892" s="306">
        <f t="shared" ca="1" si="391"/>
        <v>1674.8475178938713</v>
      </c>
      <c r="K892" s="307">
        <f t="shared" ca="1" si="392"/>
        <v>3797.7305895938521</v>
      </c>
      <c r="L892" s="304">
        <f t="shared" ca="1" si="377"/>
        <v>4150.647159098462</v>
      </c>
      <c r="M892" s="306">
        <f t="shared" ca="1" si="393"/>
        <v>0.96782838403291049</v>
      </c>
      <c r="N892" s="304">
        <f t="shared" ca="1" si="394"/>
        <v>55.452481698052402</v>
      </c>
      <c r="P892" s="310">
        <f t="shared" ca="1" si="395"/>
        <v>23</v>
      </c>
      <c r="Q892" s="304">
        <f t="shared" ca="1" si="396"/>
        <v>0</v>
      </c>
      <c r="R892" s="306">
        <f t="shared" ca="1" si="397"/>
        <v>0</v>
      </c>
      <c r="S892" s="307">
        <f t="shared" ca="1" si="398"/>
        <v>15.089040186296437</v>
      </c>
      <c r="T892" s="304">
        <f t="shared" ca="1" si="378"/>
        <v>148.02348422756805</v>
      </c>
      <c r="U892" s="311">
        <f t="shared" ca="1" si="379"/>
        <v>0</v>
      </c>
      <c r="V892" s="306">
        <f t="shared" ca="1" si="380"/>
        <v>0.83401986391200122</v>
      </c>
      <c r="W892" s="304">
        <f t="shared" ca="1" si="381"/>
        <v>82.244152893537859</v>
      </c>
      <c r="Y892" s="314" t="str">
        <f t="shared" ca="1" si="399"/>
        <v/>
      </c>
      <c r="Z892" s="315" t="str">
        <f t="shared" ca="1" si="400"/>
        <v/>
      </c>
      <c r="AA892" s="316" t="str">
        <f t="shared" ca="1" si="401"/>
        <v/>
      </c>
      <c r="AC892" s="310" t="e">
        <f t="shared" ca="1" si="402"/>
        <v>#N/A</v>
      </c>
      <c r="AD892" s="323" t="e">
        <f t="shared" ca="1" si="403"/>
        <v>#N/A</v>
      </c>
      <c r="AE892" s="324">
        <f t="shared" ca="1" si="382"/>
        <v>3797.7305895938521</v>
      </c>
      <c r="AG892" s="306">
        <f t="shared" ca="1" si="404"/>
        <v>-13.675585763520768</v>
      </c>
      <c r="AH892" s="304">
        <f t="shared" ca="1" si="405"/>
        <v>-5.5719437554801834</v>
      </c>
    </row>
    <row r="893" spans="1:34" x14ac:dyDescent="0.2">
      <c r="A893" s="347">
        <f t="shared" ca="1" si="383"/>
        <v>0.1</v>
      </c>
      <c r="B893" s="304">
        <f t="shared" ca="1" si="384"/>
        <v>16.899999999999856</v>
      </c>
      <c r="D893" s="306">
        <f t="shared" ca="1" si="385"/>
        <v>-3.0909718299332827</v>
      </c>
      <c r="E893" s="307">
        <f t="shared" ca="1" si="386"/>
        <v>-14.299410987743952</v>
      </c>
      <c r="F893" s="304">
        <f t="shared" ca="1" si="387"/>
        <v>14.629670585828432</v>
      </c>
      <c r="G893" s="306">
        <f t="shared" ca="1" si="388"/>
        <v>73.447796889414747</v>
      </c>
      <c r="H893" s="307">
        <f t="shared" ca="1" si="389"/>
        <v>105.69656437885165</v>
      </c>
      <c r="I893" s="304">
        <f t="shared" ca="1" si="390"/>
        <v>128.71030490757707</v>
      </c>
      <c r="J893" s="306">
        <f t="shared" ca="1" si="391"/>
        <v>1682.2077524419624</v>
      </c>
      <c r="K893" s="307">
        <f t="shared" ca="1" si="392"/>
        <v>3808.3717430866759</v>
      </c>
      <c r="L893" s="304">
        <f t="shared" ca="1" si="377"/>
        <v>4163.3542073569579</v>
      </c>
      <c r="M893" s="306">
        <f t="shared" ca="1" si="393"/>
        <v>0.96350614609523555</v>
      </c>
      <c r="N893" s="304">
        <f t="shared" ca="1" si="394"/>
        <v>55.204835706172304</v>
      </c>
      <c r="P893" s="310">
        <f t="shared" ca="1" si="395"/>
        <v>23</v>
      </c>
      <c r="Q893" s="304">
        <f t="shared" ca="1" si="396"/>
        <v>0</v>
      </c>
      <c r="R893" s="306">
        <f t="shared" ca="1" si="397"/>
        <v>0</v>
      </c>
      <c r="S893" s="307">
        <f t="shared" ca="1" si="398"/>
        <v>15.089040186296437</v>
      </c>
      <c r="T893" s="304">
        <f t="shared" ca="1" si="378"/>
        <v>148.02348422756805</v>
      </c>
      <c r="U893" s="311">
        <f t="shared" ca="1" si="379"/>
        <v>0</v>
      </c>
      <c r="V893" s="306">
        <f t="shared" ca="1" si="380"/>
        <v>0.83309958483315061</v>
      </c>
      <c r="W893" s="304">
        <f t="shared" ca="1" si="381"/>
        <v>80.454476693650989</v>
      </c>
      <c r="Y893" s="314" t="str">
        <f t="shared" ca="1" si="399"/>
        <v/>
      </c>
      <c r="Z893" s="315" t="str">
        <f t="shared" ca="1" si="400"/>
        <v/>
      </c>
      <c r="AA893" s="316" t="str">
        <f t="shared" ca="1" si="401"/>
        <v/>
      </c>
      <c r="AC893" s="310" t="e">
        <f t="shared" ca="1" si="402"/>
        <v>#N/A</v>
      </c>
      <c r="AD893" s="323" t="e">
        <f t="shared" ca="1" si="403"/>
        <v>#N/A</v>
      </c>
      <c r="AE893" s="324">
        <f t="shared" ca="1" si="382"/>
        <v>3808.3717430866759</v>
      </c>
      <c r="AG893" s="306">
        <f t="shared" ca="1" si="404"/>
        <v>-13.530655651745692</v>
      </c>
      <c r="AH893" s="304">
        <f t="shared" ca="1" si="405"/>
        <v>-5.4505887636398729</v>
      </c>
    </row>
    <row r="894" spans="1:34" x14ac:dyDescent="0.2">
      <c r="A894" s="347">
        <f t="shared" ca="1" si="383"/>
        <v>0.1</v>
      </c>
      <c r="B894" s="304">
        <f t="shared" ca="1" si="384"/>
        <v>16.999999999999858</v>
      </c>
      <c r="D894" s="306">
        <f t="shared" ca="1" si="385"/>
        <v>-3.0426644020510163</v>
      </c>
      <c r="E894" s="307">
        <f t="shared" ca="1" si="386"/>
        <v>-14.188608855195955</v>
      </c>
      <c r="F894" s="304">
        <f t="shared" ca="1" si="387"/>
        <v>14.511182856998721</v>
      </c>
      <c r="G894" s="306">
        <f t="shared" ca="1" si="388"/>
        <v>73.143530449209649</v>
      </c>
      <c r="H894" s="307">
        <f t="shared" ca="1" si="389"/>
        <v>104.27770349333206</v>
      </c>
      <c r="I894" s="304">
        <f t="shared" ca="1" si="390"/>
        <v>127.37274234473298</v>
      </c>
      <c r="J894" s="306">
        <f t="shared" ca="1" si="391"/>
        <v>1689.5373188088936</v>
      </c>
      <c r="K894" s="307">
        <f t="shared" ca="1" si="392"/>
        <v>3818.8704564802852</v>
      </c>
      <c r="L894" s="304">
        <f t="shared" ca="1" si="377"/>
        <v>4175.9200082168582</v>
      </c>
      <c r="M894" s="306">
        <f t="shared" ca="1" si="393"/>
        <v>0.95911114122676233</v>
      </c>
      <c r="N894" s="304">
        <f t="shared" ca="1" si="394"/>
        <v>54.953020476269337</v>
      </c>
      <c r="P894" s="310">
        <f t="shared" ca="1" si="395"/>
        <v>23</v>
      </c>
      <c r="Q894" s="304">
        <f t="shared" ca="1" si="396"/>
        <v>0</v>
      </c>
      <c r="R894" s="306">
        <f t="shared" ca="1" si="397"/>
        <v>0</v>
      </c>
      <c r="S894" s="307">
        <f t="shared" ca="1" si="398"/>
        <v>15.089040186296437</v>
      </c>
      <c r="T894" s="304">
        <f t="shared" ca="1" si="378"/>
        <v>148.02348422756805</v>
      </c>
      <c r="U894" s="311">
        <f t="shared" ca="1" si="379"/>
        <v>0</v>
      </c>
      <c r="V894" s="306">
        <f t="shared" ca="1" si="380"/>
        <v>0.8321924302425856</v>
      </c>
      <c r="W894" s="304">
        <f t="shared" ca="1" si="381"/>
        <v>78.705198347420506</v>
      </c>
      <c r="Y894" s="314" t="str">
        <f t="shared" ca="1" si="399"/>
        <v/>
      </c>
      <c r="Z894" s="315" t="str">
        <f t="shared" ca="1" si="400"/>
        <v/>
      </c>
      <c r="AA894" s="316" t="str">
        <f t="shared" ca="1" si="401"/>
        <v/>
      </c>
      <c r="AC894" s="310">
        <f t="shared" ca="1" si="402"/>
        <v>16.999999999999858</v>
      </c>
      <c r="AD894" s="323">
        <f t="shared" ca="1" si="403"/>
        <v>1689.5373188088936</v>
      </c>
      <c r="AE894" s="324">
        <f t="shared" ca="1" si="382"/>
        <v>3818.8704564802852</v>
      </c>
      <c r="AG894" s="306">
        <f t="shared" ca="1" si="404"/>
        <v>-13.387927311270152</v>
      </c>
      <c r="AH894" s="304">
        <f t="shared" ca="1" si="405"/>
        <v>-5.3319810737013036</v>
      </c>
    </row>
    <row r="895" spans="1:34" x14ac:dyDescent="0.2">
      <c r="A895" s="347">
        <f t="shared" ca="1" si="383"/>
        <v>0.1</v>
      </c>
      <c r="B895" s="304">
        <f t="shared" ca="1" si="384"/>
        <v>17.099999999999859</v>
      </c>
      <c r="D895" s="306">
        <f t="shared" ca="1" si="385"/>
        <v>-2.9953061763936759</v>
      </c>
      <c r="E895" s="307">
        <f t="shared" ca="1" si="386"/>
        <v>-14.080284021231584</v>
      </c>
      <c r="F895" s="304">
        <f t="shared" ca="1" si="387"/>
        <v>14.395355404049306</v>
      </c>
      <c r="G895" s="306">
        <f t="shared" ca="1" si="388"/>
        <v>72.843999831570287</v>
      </c>
      <c r="H895" s="307">
        <f t="shared" ca="1" si="389"/>
        <v>102.86967509120889</v>
      </c>
      <c r="I895" s="304">
        <f t="shared" ca="1" si="390"/>
        <v>126.0492695926188</v>
      </c>
      <c r="J895" s="306">
        <f t="shared" ca="1" si="391"/>
        <v>1696.8366953229327</v>
      </c>
      <c r="K895" s="307">
        <f t="shared" ca="1" si="392"/>
        <v>3829.2278254095122</v>
      </c>
      <c r="L895" s="304">
        <f t="shared" ca="1" si="377"/>
        <v>4188.3457963120609</v>
      </c>
      <c r="M895" s="306">
        <f t="shared" ca="1" si="393"/>
        <v>0.95464194380910306</v>
      </c>
      <c r="N895" s="304">
        <f t="shared" ca="1" si="394"/>
        <v>54.696954326426692</v>
      </c>
      <c r="P895" s="310">
        <f t="shared" ca="1" si="395"/>
        <v>23</v>
      </c>
      <c r="Q895" s="304">
        <f t="shared" ca="1" si="396"/>
        <v>0</v>
      </c>
      <c r="R895" s="306">
        <f t="shared" ca="1" si="397"/>
        <v>0</v>
      </c>
      <c r="S895" s="307">
        <f t="shared" ca="1" si="398"/>
        <v>15.089040186296437</v>
      </c>
      <c r="T895" s="304">
        <f t="shared" ca="1" si="378"/>
        <v>148.02348422756805</v>
      </c>
      <c r="U895" s="311">
        <f t="shared" ca="1" si="379"/>
        <v>0</v>
      </c>
      <c r="V895" s="306">
        <f t="shared" ca="1" si="380"/>
        <v>0.83129827197969319</v>
      </c>
      <c r="W895" s="304">
        <f t="shared" ca="1" si="381"/>
        <v>76.995297734006485</v>
      </c>
      <c r="Y895" s="314" t="str">
        <f t="shared" ca="1" si="399"/>
        <v/>
      </c>
      <c r="Z895" s="315" t="str">
        <f t="shared" ca="1" si="400"/>
        <v/>
      </c>
      <c r="AA895" s="316" t="str">
        <f t="shared" ca="1" si="401"/>
        <v/>
      </c>
      <c r="AC895" s="310" t="e">
        <f t="shared" ca="1" si="402"/>
        <v>#N/A</v>
      </c>
      <c r="AD895" s="323" t="e">
        <f t="shared" ca="1" si="403"/>
        <v>#N/A</v>
      </c>
      <c r="AE895" s="324">
        <f t="shared" ca="1" si="382"/>
        <v>3829.2278254095122</v>
      </c>
      <c r="AG895" s="306">
        <f t="shared" ca="1" si="404"/>
        <v>-13.247315867776939</v>
      </c>
      <c r="AH895" s="304">
        <f t="shared" ca="1" si="405"/>
        <v>-5.2160506815336731</v>
      </c>
    </row>
    <row r="896" spans="1:34" x14ac:dyDescent="0.2">
      <c r="A896" s="347">
        <f t="shared" ca="1" si="383"/>
        <v>0.1</v>
      </c>
      <c r="B896" s="304">
        <f t="shared" ca="1" si="384"/>
        <v>17.199999999999861</v>
      </c>
      <c r="D896" s="306">
        <f t="shared" ca="1" si="385"/>
        <v>-2.9488727942160211</v>
      </c>
      <c r="E896" s="307">
        <f t="shared" ca="1" si="386"/>
        <v>-13.974373001588486</v>
      </c>
      <c r="F896" s="304">
        <f t="shared" ca="1" si="387"/>
        <v>14.282119994734416</v>
      </c>
      <c r="G896" s="306">
        <f t="shared" ca="1" si="388"/>
        <v>72.549112552148685</v>
      </c>
      <c r="H896" s="307">
        <f t="shared" ca="1" si="389"/>
        <v>101.47223779105005</v>
      </c>
      <c r="I896" s="304">
        <f t="shared" ca="1" si="390"/>
        <v>124.73968404011509</v>
      </c>
      <c r="J896" s="306">
        <f t="shared" ca="1" si="391"/>
        <v>1704.1063509421185</v>
      </c>
      <c r="K896" s="307">
        <f t="shared" ca="1" si="392"/>
        <v>3839.444921053625</v>
      </c>
      <c r="L896" s="304">
        <f t="shared" ca="1" si="377"/>
        <v>4200.63278056125</v>
      </c>
      <c r="M896" s="306">
        <f t="shared" ca="1" si="393"/>
        <v>0.95009709632180761</v>
      </c>
      <c r="N896" s="304">
        <f t="shared" ca="1" si="394"/>
        <v>54.436553746874026</v>
      </c>
      <c r="P896" s="310">
        <f t="shared" ca="1" si="395"/>
        <v>23</v>
      </c>
      <c r="Q896" s="304">
        <f t="shared" ca="1" si="396"/>
        <v>0</v>
      </c>
      <c r="R896" s="306">
        <f t="shared" ca="1" si="397"/>
        <v>0</v>
      </c>
      <c r="S896" s="307">
        <f t="shared" ca="1" si="398"/>
        <v>15.089040186296437</v>
      </c>
      <c r="T896" s="304">
        <f t="shared" ca="1" si="378"/>
        <v>148.02348422756805</v>
      </c>
      <c r="U896" s="311">
        <f t="shared" ca="1" si="379"/>
        <v>0</v>
      </c>
      <c r="V896" s="306">
        <f t="shared" ca="1" si="380"/>
        <v>0.83041698484455984</v>
      </c>
      <c r="W896" s="304">
        <f t="shared" ca="1" si="381"/>
        <v>75.323789460672913</v>
      </c>
      <c r="Y896" s="314" t="str">
        <f t="shared" ca="1" si="399"/>
        <v/>
      </c>
      <c r="Z896" s="315" t="str">
        <f t="shared" ca="1" si="400"/>
        <v/>
      </c>
      <c r="AA896" s="316" t="str">
        <f t="shared" ca="1" si="401"/>
        <v/>
      </c>
      <c r="AC896" s="310" t="e">
        <f t="shared" ca="1" si="402"/>
        <v>#N/A</v>
      </c>
      <c r="AD896" s="323" t="e">
        <f t="shared" ca="1" si="403"/>
        <v>#N/A</v>
      </c>
      <c r="AE896" s="324">
        <f t="shared" ca="1" si="382"/>
        <v>3839.444921053625</v>
      </c>
      <c r="AG896" s="306">
        <f t="shared" ca="1" si="404"/>
        <v>-13.1087383920765</v>
      </c>
      <c r="AH896" s="304">
        <f t="shared" ca="1" si="405"/>
        <v>-5.102729980395444</v>
      </c>
    </row>
    <row r="897" spans="1:34" x14ac:dyDescent="0.2">
      <c r="A897" s="347">
        <f t="shared" ca="1" si="383"/>
        <v>0.1</v>
      </c>
      <c r="B897" s="304">
        <f t="shared" ca="1" si="384"/>
        <v>17.299999999999862</v>
      </c>
      <c r="D897" s="306">
        <f t="shared" ca="1" si="385"/>
        <v>-2.9033407539116287</v>
      </c>
      <c r="E897" s="307">
        <f t="shared" ca="1" si="386"/>
        <v>-13.87081443322413</v>
      </c>
      <c r="F897" s="304">
        <f t="shared" ca="1" si="387"/>
        <v>14.171410676932023</v>
      </c>
      <c r="G897" s="306">
        <f t="shared" ca="1" si="388"/>
        <v>72.258778476757527</v>
      </c>
      <c r="H897" s="307">
        <f t="shared" ca="1" si="389"/>
        <v>100.08515634772763</v>
      </c>
      <c r="I897" s="304">
        <f t="shared" ca="1" si="390"/>
        <v>123.44379120920664</v>
      </c>
      <c r="J897" s="306">
        <f t="shared" ca="1" si="391"/>
        <v>1711.3467454935637</v>
      </c>
      <c r="K897" s="307">
        <f t="shared" ca="1" si="392"/>
        <v>3849.522790760564</v>
      </c>
      <c r="L897" s="304">
        <f t="shared" ca="1" si="377"/>
        <v>4212.7821448416262</v>
      </c>
      <c r="M897" s="306">
        <f t="shared" ca="1" si="393"/>
        <v>0.94547510881733754</v>
      </c>
      <c r="N897" s="304">
        <f t="shared" ca="1" si="394"/>
        <v>54.171733369905688</v>
      </c>
      <c r="P897" s="310">
        <f t="shared" ca="1" si="395"/>
        <v>23</v>
      </c>
      <c r="Q897" s="304">
        <f t="shared" ca="1" si="396"/>
        <v>0</v>
      </c>
      <c r="R897" s="306">
        <f t="shared" ca="1" si="397"/>
        <v>0</v>
      </c>
      <c r="S897" s="307">
        <f t="shared" ca="1" si="398"/>
        <v>15.089040186296437</v>
      </c>
      <c r="T897" s="304">
        <f t="shared" ca="1" si="378"/>
        <v>148.02348422756805</v>
      </c>
      <c r="U897" s="311">
        <f t="shared" ca="1" si="379"/>
        <v>0</v>
      </c>
      <c r="V897" s="306">
        <f t="shared" ca="1" si="380"/>
        <v>0.82954844651998105</v>
      </c>
      <c r="W897" s="304">
        <f t="shared" ca="1" si="381"/>
        <v>73.689721484459099</v>
      </c>
      <c r="Y897" s="314" t="str">
        <f t="shared" ca="1" si="399"/>
        <v/>
      </c>
      <c r="Z897" s="315" t="str">
        <f t="shared" ca="1" si="400"/>
        <v/>
      </c>
      <c r="AA897" s="316" t="str">
        <f t="shared" ca="1" si="401"/>
        <v/>
      </c>
      <c r="AC897" s="310" t="e">
        <f t="shared" ca="1" si="402"/>
        <v>#N/A</v>
      </c>
      <c r="AD897" s="323" t="e">
        <f t="shared" ca="1" si="403"/>
        <v>#N/A</v>
      </c>
      <c r="AE897" s="324">
        <f t="shared" ca="1" si="382"/>
        <v>3849.522790760564</v>
      </c>
      <c r="AG897" s="306">
        <f t="shared" ca="1" si="404"/>
        <v>-12.972113791277886</v>
      </c>
      <c r="AH897" s="304">
        <f t="shared" ca="1" si="405"/>
        <v>-4.9919536650900076</v>
      </c>
    </row>
    <row r="898" spans="1:34" x14ac:dyDescent="0.2">
      <c r="A898" s="347">
        <f t="shared" ca="1" si="383"/>
        <v>0.1</v>
      </c>
      <c r="B898" s="304">
        <f t="shared" ca="1" si="384"/>
        <v>17.399999999999864</v>
      </c>
      <c r="D898" s="306">
        <f t="shared" ca="1" si="385"/>
        <v>-2.8586873783757945</v>
      </c>
      <c r="E898" s="307">
        <f t="shared" ca="1" si="386"/>
        <v>-13.769548988307999</v>
      </c>
      <c r="F898" s="304">
        <f t="shared" ca="1" si="387"/>
        <v>14.06316368633669</v>
      </c>
      <c r="G898" s="306">
        <f t="shared" ca="1" si="388"/>
        <v>71.972909738919952</v>
      </c>
      <c r="H898" s="307">
        <f t="shared" ca="1" si="389"/>
        <v>98.70820144889683</v>
      </c>
      <c r="I898" s="304">
        <f t="shared" ca="1" si="390"/>
        <v>122.16140458247325</v>
      </c>
      <c r="J898" s="306">
        <f t="shared" ca="1" si="391"/>
        <v>1718.5583299043476</v>
      </c>
      <c r="K898" s="307">
        <f t="shared" ca="1" si="392"/>
        <v>3859.4624586503951</v>
      </c>
      <c r="L898" s="304">
        <f t="shared" ca="1" si="377"/>
        <v>4224.7950486402733</v>
      </c>
      <c r="M898" s="306">
        <f t="shared" ca="1" si="393"/>
        <v>0.94077445840858309</v>
      </c>
      <c r="N898" s="304">
        <f t="shared" ca="1" si="394"/>
        <v>53.90240594051761</v>
      </c>
      <c r="P898" s="310">
        <f t="shared" ca="1" si="395"/>
        <v>23</v>
      </c>
      <c r="Q898" s="304">
        <f t="shared" ca="1" si="396"/>
        <v>0</v>
      </c>
      <c r="R898" s="306">
        <f t="shared" ca="1" si="397"/>
        <v>0</v>
      </c>
      <c r="S898" s="307">
        <f t="shared" ca="1" si="398"/>
        <v>15.089040186296437</v>
      </c>
      <c r="T898" s="304">
        <f t="shared" ca="1" si="378"/>
        <v>148.02348422756805</v>
      </c>
      <c r="U898" s="311">
        <f t="shared" ca="1" si="379"/>
        <v>0</v>
      </c>
      <c r="V898" s="306">
        <f t="shared" ca="1" si="380"/>
        <v>0.82869253749615579</v>
      </c>
      <c r="W898" s="304">
        <f t="shared" ca="1" si="381"/>
        <v>72.092173798097747</v>
      </c>
      <c r="Y898" s="314" t="str">
        <f t="shared" ca="1" si="399"/>
        <v/>
      </c>
      <c r="Z898" s="315" t="str">
        <f t="shared" ca="1" si="400"/>
        <v/>
      </c>
      <c r="AA898" s="316" t="str">
        <f t="shared" ca="1" si="401"/>
        <v/>
      </c>
      <c r="AC898" s="310" t="e">
        <f t="shared" ca="1" si="402"/>
        <v>#N/A</v>
      </c>
      <c r="AD898" s="323" t="e">
        <f t="shared" ca="1" si="403"/>
        <v>#N/A</v>
      </c>
      <c r="AE898" s="324">
        <f t="shared" ca="1" si="382"/>
        <v>3859.4624586503951</v>
      </c>
      <c r="AG898" s="306">
        <f t="shared" ca="1" si="404"/>
        <v>-12.837362704254593</v>
      </c>
      <c r="AH898" s="304">
        <f t="shared" ca="1" si="405"/>
        <v>-4.883658640619343</v>
      </c>
    </row>
    <row r="899" spans="1:34" x14ac:dyDescent="0.2">
      <c r="A899" s="347">
        <f t="shared" ca="1" si="383"/>
        <v>0.1</v>
      </c>
      <c r="B899" s="304">
        <f t="shared" ca="1" si="384"/>
        <v>17.499999999999865</v>
      </c>
      <c r="D899" s="306">
        <f t="shared" ca="1" si="385"/>
        <v>-2.8148907839426327</v>
      </c>
      <c r="E899" s="307">
        <f t="shared" ca="1" si="386"/>
        <v>-13.670519292133068</v>
      </c>
      <c r="F899" s="304">
        <f t="shared" ca="1" si="387"/>
        <v>13.957317358364664</v>
      </c>
      <c r="G899" s="306">
        <f t="shared" ca="1" si="388"/>
        <v>71.691420660525694</v>
      </c>
      <c r="H899" s="307">
        <f t="shared" ca="1" si="389"/>
        <v>97.341149519683526</v>
      </c>
      <c r="I899" s="304">
        <f t="shared" ca="1" si="390"/>
        <v>120.89234544063505</v>
      </c>
      <c r="J899" s="306">
        <f t="shared" ca="1" si="391"/>
        <v>1725.7415464243199</v>
      </c>
      <c r="K899" s="307">
        <f t="shared" ca="1" si="392"/>
        <v>3869.264926198824</v>
      </c>
      <c r="L899" s="304">
        <f t="shared" ca="1" si="377"/>
        <v>4236.6726276840636</v>
      </c>
      <c r="M899" s="306">
        <f t="shared" ca="1" si="393"/>
        <v>0.93599358877148464</v>
      </c>
      <c r="N899" s="304">
        <f t="shared" ca="1" si="394"/>
        <v>53.628482287909627</v>
      </c>
      <c r="P899" s="310">
        <f t="shared" ca="1" si="395"/>
        <v>23</v>
      </c>
      <c r="Q899" s="304">
        <f t="shared" ca="1" si="396"/>
        <v>0</v>
      </c>
      <c r="R899" s="306">
        <f t="shared" ca="1" si="397"/>
        <v>0</v>
      </c>
      <c r="S899" s="307">
        <f t="shared" ca="1" si="398"/>
        <v>15.089040186296437</v>
      </c>
      <c r="T899" s="304">
        <f t="shared" ca="1" si="378"/>
        <v>148.02348422756805</v>
      </c>
      <c r="U899" s="311">
        <f t="shared" ca="1" si="379"/>
        <v>0</v>
      </c>
      <c r="V899" s="306">
        <f t="shared" ca="1" si="380"/>
        <v>0.82784914099796048</v>
      </c>
      <c r="W899" s="304">
        <f t="shared" ca="1" si="381"/>
        <v>70.530257176772565</v>
      </c>
      <c r="Y899" s="314" t="str">
        <f t="shared" ca="1" si="399"/>
        <v/>
      </c>
      <c r="Z899" s="315" t="str">
        <f t="shared" ca="1" si="400"/>
        <v/>
      </c>
      <c r="AA899" s="316" t="str">
        <f t="shared" ca="1" si="401"/>
        <v/>
      </c>
      <c r="AC899" s="310" t="e">
        <f t="shared" ca="1" si="402"/>
        <v>#N/A</v>
      </c>
      <c r="AD899" s="323" t="e">
        <f t="shared" ca="1" si="403"/>
        <v>#N/A</v>
      </c>
      <c r="AE899" s="324">
        <f t="shared" ca="1" si="382"/>
        <v>3869.264926198824</v>
      </c>
      <c r="AG899" s="306">
        <f t="shared" ca="1" si="404"/>
        <v>-12.704407401183312</v>
      </c>
      <c r="AH899" s="304">
        <f t="shared" ca="1" si="405"/>
        <v>-4.7777839350955142</v>
      </c>
    </row>
    <row r="900" spans="1:34" x14ac:dyDescent="0.2">
      <c r="A900" s="347">
        <f t="shared" ca="1" si="383"/>
        <v>0.1</v>
      </c>
      <c r="B900" s="304">
        <f t="shared" ca="1" si="384"/>
        <v>17.599999999999866</v>
      </c>
      <c r="D900" s="306">
        <f t="shared" ca="1" si="385"/>
        <v>-2.7719298508142316</v>
      </c>
      <c r="E900" s="307">
        <f t="shared" ca="1" si="386"/>
        <v>-13.573669844734301</v>
      </c>
      <c r="F900" s="304">
        <f t="shared" ca="1" si="387"/>
        <v>13.853812044043483</v>
      </c>
      <c r="G900" s="306">
        <f t="shared" ca="1" si="388"/>
        <v>71.414227675444266</v>
      </c>
      <c r="H900" s="307">
        <f t="shared" ca="1" si="389"/>
        <v>95.983782535210096</v>
      </c>
      <c r="I900" s="304">
        <f t="shared" ca="1" si="390"/>
        <v>119.6364427097642</v>
      </c>
      <c r="J900" s="306">
        <f t="shared" ca="1" si="391"/>
        <v>1732.8968288411183</v>
      </c>
      <c r="K900" s="307">
        <f t="shared" ca="1" si="392"/>
        <v>3878.9311728015687</v>
      </c>
      <c r="L900" s="304">
        <f t="shared" ref="L900:L963" ca="1" si="406">SQRT(pos_x^2+pos_z^2)</f>
        <v>4248.4159945489509</v>
      </c>
      <c r="M900" s="306">
        <f t="shared" ca="1" si="393"/>
        <v>0.93113090966555001</v>
      </c>
      <c r="N900" s="304">
        <f t="shared" ca="1" si="394"/>
        <v>53.349871298013127</v>
      </c>
      <c r="P900" s="310">
        <f t="shared" ca="1" si="395"/>
        <v>23</v>
      </c>
      <c r="Q900" s="304">
        <f t="shared" ca="1" si="396"/>
        <v>0</v>
      </c>
      <c r="R900" s="306">
        <f t="shared" ca="1" si="397"/>
        <v>0</v>
      </c>
      <c r="S900" s="307">
        <f t="shared" ca="1" si="398"/>
        <v>15.089040186296437</v>
      </c>
      <c r="T900" s="304">
        <f t="shared" ref="T900:T963" ca="1" si="407">m*g</f>
        <v>148.02348422756805</v>
      </c>
      <c r="U900" s="311">
        <f t="shared" ref="U900:U963" ca="1" si="408">IF(pos_xz&lt;L_rampe,Poids*COS(Beta),0)</f>
        <v>0</v>
      </c>
      <c r="V900" s="306">
        <f t="shared" ref="V900:V963" ca="1" si="409">Rho_moyen*(20000-Alt_rampe-pos_z)/(20000+Alt_rampe+pos_z)</f>
        <v>0.82701814291469122</v>
      </c>
      <c r="W900" s="304">
        <f t="shared" ref="W900:W963" ca="1" si="410">1/2*Rho*Sref*Cx*vit_xz^2</f>
        <v>69.003111982510021</v>
      </c>
      <c r="Y900" s="314" t="str">
        <f t="shared" ca="1" si="399"/>
        <v/>
      </c>
      <c r="Z900" s="315" t="str">
        <f t="shared" ca="1" si="400"/>
        <v/>
      </c>
      <c r="AA900" s="316" t="str">
        <f t="shared" ca="1" si="401"/>
        <v/>
      </c>
      <c r="AC900" s="310" t="e">
        <f t="shared" ca="1" si="402"/>
        <v>#N/A</v>
      </c>
      <c r="AD900" s="323" t="e">
        <f t="shared" ca="1" si="403"/>
        <v>#N/A</v>
      </c>
      <c r="AE900" s="324">
        <f t="shared" ref="AE900:AE963" ca="1" si="411">IF(t&lt;T_para, pos_z, NA())</f>
        <v>3878.9311728015687</v>
      </c>
      <c r="AG900" s="306">
        <f t="shared" ca="1" si="404"/>
        <v>-12.573171686951</v>
      </c>
      <c r="AH900" s="304">
        <f t="shared" ca="1" si="405"/>
        <v>-4.6742706166842032</v>
      </c>
    </row>
    <row r="901" spans="1:34" x14ac:dyDescent="0.2">
      <c r="A901" s="347">
        <f t="shared" ref="A901:A964" ca="1" si="412">IF(B900+0.01&lt;=T_ini+ROUNDUP(Temps_fin_propu,0), 0.01, IF(K900&gt;0, 0.1, 0.0001))</f>
        <v>0.1</v>
      </c>
      <c r="B901" s="304">
        <f t="shared" ref="B901:B964" ca="1" si="413">B900+pas</f>
        <v>17.699999999999868</v>
      </c>
      <c r="D901" s="306">
        <f t="shared" ref="D901:D964" ca="1" si="414">IF(AND(L900&lt;L_rampe,Poussee&lt;Poids*SIN(M900)),0,(-W900+Poussee)/m*COS(M900)-U900/m*SIN(M900))</f>
        <v>-2.7297841949045871</v>
      </c>
      <c r="E901" s="307">
        <f t="shared" ref="E901:E964" ca="1" si="415">IF(AND(L900&lt;L_rampe,Poussee&lt;Poids*SIN(M900)),0,(-W900+Poussee)/m*SIN(M900)+U900/m*COS(M900)-Poids/m)</f>
        <v>-13.47894694601408</v>
      </c>
      <c r="F901" s="304">
        <f t="shared" ref="F901:F964" ca="1" si="416">SQRT(acc_x^2+acc_z^2)</f>
        <v>13.752590029671255</v>
      </c>
      <c r="G901" s="306">
        <f t="shared" ref="G901:G964" ca="1" si="417">G900+acc_x*pas</f>
        <v>71.141249255953809</v>
      </c>
      <c r="H901" s="307">
        <f t="shared" ref="H901:H964" ca="1" si="418">H900+acc_z*pas</f>
        <v>94.635887840608689</v>
      </c>
      <c r="I901" s="304">
        <f t="shared" ref="I901:I964" ca="1" si="419">SQRT(vit_x^2+vit_z^2)</f>
        <v>118.39353281779378</v>
      </c>
      <c r="J901" s="306">
        <f t="shared" ref="J901:J964" ca="1" si="420">J900+0.5*(vit_x+G900)*pas*(K900&gt;=0)</f>
        <v>1740.0246026876882</v>
      </c>
      <c r="K901" s="307">
        <f t="shared" ref="K901:K964" ca="1" si="421">K900+0.5*(vit_z+H900)*pas</f>
        <v>3888.4621563203596</v>
      </c>
      <c r="L901" s="304">
        <f t="shared" ca="1" si="406"/>
        <v>4260.0262392494751</v>
      </c>
      <c r="M901" s="306">
        <f t="shared" ref="M901:M964" ca="1" si="422">IF(AND(L900&gt;L_rampe,G901&gt;0),ATAN2(G901,H901),$M$4)</f>
        <v>0.92618479647531682</v>
      </c>
      <c r="N901" s="304">
        <f t="shared" ref="N901:N964" ca="1" si="423">DEGREES(Beta)</f>
        <v>53.066479887218776</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15.089040186296437</v>
      </c>
      <c r="T901" s="304">
        <f t="shared" ca="1" si="407"/>
        <v>148.02348422756805</v>
      </c>
      <c r="U901" s="311">
        <f t="shared" ca="1" si="408"/>
        <v>0</v>
      </c>
      <c r="V901" s="306">
        <f t="shared" ca="1" si="409"/>
        <v>0.82619943173217969</v>
      </c>
      <c r="W901" s="304">
        <f t="shared" ca="1" si="410"/>
        <v>67.509907023189427</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f t="shared" ca="1" si="411"/>
        <v>3888.4621563203596</v>
      </c>
      <c r="AG901" s="306">
        <f t="shared" ref="AG901:AG964" ca="1" si="433">IF(AND(L900&lt;L_rampe,Poussee&lt;Poids*SIN(M900)),0,(-W900+Poussee)/m-Poids*SIN(M900)/m)</f>
        <v>-12.443580808242249</v>
      </c>
      <c r="AH901" s="304">
        <f t="shared" ref="AH901:AH964" ca="1" si="434">IF(AND(L900&lt;L_rampe,Poussee&lt;Poids*SIN(M900)), g*SIN(M900), (-W900+Poussee)/m)</f>
        <v>-4.5730617143678405</v>
      </c>
    </row>
    <row r="902" spans="1:34" x14ac:dyDescent="0.2">
      <c r="A902" s="347">
        <f t="shared" ca="1" si="412"/>
        <v>0.1</v>
      </c>
      <c r="B902" s="304">
        <f t="shared" ca="1" si="413"/>
        <v>17.799999999999869</v>
      </c>
      <c r="D902" s="306">
        <f t="shared" ca="1" si="414"/>
        <v>-2.6884341410255645</v>
      </c>
      <c r="E902" s="307">
        <f t="shared" ca="1" si="415"/>
        <v>-13.386298624186246</v>
      </c>
      <c r="F902" s="304">
        <f t="shared" ca="1" si="416"/>
        <v>13.653595460043572</v>
      </c>
      <c r="G902" s="306">
        <f t="shared" ca="1" si="417"/>
        <v>70.872405841851247</v>
      </c>
      <c r="H902" s="307">
        <f t="shared" ca="1" si="418"/>
        <v>93.297257978190061</v>
      </c>
      <c r="I902" s="304">
        <f t="shared" ca="1" si="419"/>
        <v>117.16345955997126</v>
      </c>
      <c r="J902" s="306">
        <f t="shared" ca="1" si="420"/>
        <v>1747.1252854425784</v>
      </c>
      <c r="K902" s="307">
        <f t="shared" ca="1" si="421"/>
        <v>3897.8588136112994</v>
      </c>
      <c r="L902" s="304">
        <f t="shared" ca="1" si="406"/>
        <v>4271.5044298092562</v>
      </c>
      <c r="M902" s="306">
        <f t="shared" ca="1" si="422"/>
        <v>0.92115358977607953</v>
      </c>
      <c r="N902" s="304">
        <f t="shared" ca="1" si="423"/>
        <v>52.778212977494533</v>
      </c>
      <c r="P902" s="310">
        <f t="shared" ca="1" si="424"/>
        <v>23</v>
      </c>
      <c r="Q902" s="304">
        <f t="shared" ca="1" si="425"/>
        <v>0</v>
      </c>
      <c r="R902" s="306">
        <f t="shared" ca="1" si="426"/>
        <v>0</v>
      </c>
      <c r="S902" s="307">
        <f t="shared" ca="1" si="427"/>
        <v>15.089040186296437</v>
      </c>
      <c r="T902" s="304">
        <f t="shared" ca="1" si="407"/>
        <v>148.02348422756805</v>
      </c>
      <c r="U902" s="311">
        <f t="shared" ca="1" si="408"/>
        <v>0</v>
      </c>
      <c r="V902" s="306">
        <f t="shared" ca="1" si="409"/>
        <v>0.82539289846718367</v>
      </c>
      <c r="W902" s="304">
        <f t="shared" ca="1" si="410"/>
        <v>66.049838463330801</v>
      </c>
      <c r="Y902" s="314" t="str">
        <f t="shared" ca="1" si="428"/>
        <v/>
      </c>
      <c r="Z902" s="315" t="str">
        <f t="shared" ca="1" si="429"/>
        <v/>
      </c>
      <c r="AA902" s="316" t="str">
        <f t="shared" ca="1" si="430"/>
        <v/>
      </c>
      <c r="AC902" s="310" t="e">
        <f t="shared" ca="1" si="431"/>
        <v>#N/A</v>
      </c>
      <c r="AD902" s="323" t="e">
        <f t="shared" ca="1" si="432"/>
        <v>#N/A</v>
      </c>
      <c r="AE902" s="324">
        <f t="shared" ca="1" si="411"/>
        <v>3897.8588136112994</v>
      </c>
      <c r="AG902" s="306">
        <f t="shared" ca="1" si="433"/>
        <v>-12.315561364135249</v>
      </c>
      <c r="AH902" s="304">
        <f t="shared" ca="1" si="434"/>
        <v>-4.4741021423284808</v>
      </c>
    </row>
    <row r="903" spans="1:34" x14ac:dyDescent="0.2">
      <c r="A903" s="347">
        <f t="shared" ca="1" si="412"/>
        <v>0.1</v>
      </c>
      <c r="B903" s="304">
        <f t="shared" ca="1" si="413"/>
        <v>17.899999999999871</v>
      </c>
      <c r="D903" s="306">
        <f t="shared" ca="1" si="414"/>
        <v>-2.6478606973463075</v>
      </c>
      <c r="E903" s="307">
        <f t="shared" ca="1" si="415"/>
        <v>-13.29567456736101</v>
      </c>
      <c r="F903" s="304">
        <f t="shared" ca="1" si="416"/>
        <v>13.556774265057365</v>
      </c>
      <c r="G903" s="306">
        <f t="shared" ca="1" si="417"/>
        <v>70.607619772116621</v>
      </c>
      <c r="H903" s="307">
        <f t="shared" ca="1" si="418"/>
        <v>91.96769052145396</v>
      </c>
      <c r="I903" s="304">
        <f t="shared" ca="1" si="419"/>
        <v>115.94607397291954</v>
      </c>
      <c r="J903" s="306">
        <f t="shared" ca="1" si="420"/>
        <v>1754.1992867232768</v>
      </c>
      <c r="K903" s="307">
        <f t="shared" ca="1" si="421"/>
        <v>3907.1220610362816</v>
      </c>
      <c r="L903" s="304">
        <f t="shared" ca="1" si="406"/>
        <v>4282.851612813226</v>
      </c>
      <c r="M903" s="306">
        <f t="shared" ca="1" si="422"/>
        <v>0.91603559492748565</v>
      </c>
      <c r="N903" s="304">
        <f t="shared" ca="1" si="423"/>
        <v>52.484973473100411</v>
      </c>
      <c r="P903" s="310">
        <f t="shared" ca="1" si="424"/>
        <v>23</v>
      </c>
      <c r="Q903" s="304">
        <f t="shared" ca="1" si="425"/>
        <v>0</v>
      </c>
      <c r="R903" s="306">
        <f t="shared" ca="1" si="426"/>
        <v>0</v>
      </c>
      <c r="S903" s="307">
        <f t="shared" ca="1" si="427"/>
        <v>15.089040186296437</v>
      </c>
      <c r="T903" s="304">
        <f t="shared" ca="1" si="407"/>
        <v>148.02348422756805</v>
      </c>
      <c r="U903" s="311">
        <f t="shared" ca="1" si="408"/>
        <v>0</v>
      </c>
      <c r="V903" s="306">
        <f t="shared" ca="1" si="409"/>
        <v>0.82459843660395993</v>
      </c>
      <c r="W903" s="304">
        <f t="shared" ca="1" si="410"/>
        <v>64.622128783985914</v>
      </c>
      <c r="Y903" s="314" t="str">
        <f t="shared" ca="1" si="428"/>
        <v/>
      </c>
      <c r="Z903" s="315" t="str">
        <f t="shared" ca="1" si="429"/>
        <v/>
      </c>
      <c r="AA903" s="316" t="str">
        <f t="shared" ca="1" si="430"/>
        <v/>
      </c>
      <c r="AC903" s="310" t="e">
        <f t="shared" ca="1" si="431"/>
        <v>#N/A</v>
      </c>
      <c r="AD903" s="323" t="e">
        <f t="shared" ca="1" si="432"/>
        <v>#N/A</v>
      </c>
      <c r="AE903" s="324">
        <f t="shared" ca="1" si="411"/>
        <v>3907.1220610362816</v>
      </c>
      <c r="AG903" s="306">
        <f t="shared" ca="1" si="433"/>
        <v>-12.18904122005004</v>
      </c>
      <c r="AH903" s="304">
        <f t="shared" ca="1" si="434"/>
        <v>-4.3773386277621515</v>
      </c>
    </row>
    <row r="904" spans="1:34" x14ac:dyDescent="0.2">
      <c r="A904" s="347">
        <f t="shared" ca="1" si="412"/>
        <v>0.1</v>
      </c>
      <c r="B904" s="304">
        <f t="shared" ca="1" si="413"/>
        <v>17.999999999999872</v>
      </c>
      <c r="D904" s="306">
        <f t="shared" ca="1" si="414"/>
        <v>-2.6080455310615087</v>
      </c>
      <c r="E904" s="307">
        <f t="shared" ca="1" si="415"/>
        <v>-13.207026058103242</v>
      </c>
      <c r="F904" s="304">
        <f t="shared" ca="1" si="416"/>
        <v>13.462074089511912</v>
      </c>
      <c r="G904" s="306">
        <f t="shared" ca="1" si="417"/>
        <v>70.346815219010466</v>
      </c>
      <c r="H904" s="307">
        <f t="shared" ca="1" si="418"/>
        <v>90.646987915643635</v>
      </c>
      <c r="I904" s="304">
        <f t="shared" ca="1" si="419"/>
        <v>114.74123421698255</v>
      </c>
      <c r="J904" s="306">
        <f t="shared" ca="1" si="420"/>
        <v>1761.2470084728332</v>
      </c>
      <c r="K904" s="307">
        <f t="shared" ca="1" si="421"/>
        <v>3916.2527949581363</v>
      </c>
      <c r="L904" s="304">
        <f t="shared" ca="1" si="406"/>
        <v>4294.06881394231</v>
      </c>
      <c r="M904" s="306">
        <f t="shared" ca="1" si="422"/>
        <v>0.91082908169892707</v>
      </c>
      <c r="N904" s="304">
        <f t="shared" ca="1" si="423"/>
        <v>52.186662239124971</v>
      </c>
      <c r="P904" s="310">
        <f t="shared" ca="1" si="424"/>
        <v>23</v>
      </c>
      <c r="Q904" s="304">
        <f t="shared" ca="1" si="425"/>
        <v>0</v>
      </c>
      <c r="R904" s="306">
        <f t="shared" ca="1" si="426"/>
        <v>0</v>
      </c>
      <c r="S904" s="307">
        <f t="shared" ca="1" si="427"/>
        <v>15.089040186296437</v>
      </c>
      <c r="T904" s="304">
        <f t="shared" ca="1" si="407"/>
        <v>148.02348422756805</v>
      </c>
      <c r="U904" s="311">
        <f t="shared" ca="1" si="408"/>
        <v>0</v>
      </c>
      <c r="V904" s="306">
        <f t="shared" ca="1" si="409"/>
        <v>0.8238159420329364</v>
      </c>
      <c r="W904" s="304">
        <f t="shared" ca="1" si="410"/>
        <v>63.226025789212009</v>
      </c>
      <c r="Y904" s="314" t="str">
        <f t="shared" ca="1" si="428"/>
        <v/>
      </c>
      <c r="Z904" s="315" t="str">
        <f t="shared" ca="1" si="429"/>
        <v/>
      </c>
      <c r="AA904" s="316" t="str">
        <f t="shared" ca="1" si="430"/>
        <v/>
      </c>
      <c r="AC904" s="310">
        <f t="shared" ca="1" si="431"/>
        <v>17.999999999999872</v>
      </c>
      <c r="AD904" s="323">
        <f t="shared" ca="1" si="432"/>
        <v>1761.2470084728332</v>
      </c>
      <c r="AE904" s="324">
        <f t="shared" ca="1" si="411"/>
        <v>3916.2527949581363</v>
      </c>
      <c r="AG904" s="306">
        <f t="shared" ca="1" si="433"/>
        <v>-12.063949424908284</v>
      </c>
      <c r="AH904" s="304">
        <f t="shared" ca="1" si="434"/>
        <v>-4.282719641947434</v>
      </c>
    </row>
    <row r="905" spans="1:34" x14ac:dyDescent="0.2">
      <c r="A905" s="347">
        <f t="shared" ca="1" si="412"/>
        <v>0.1</v>
      </c>
      <c r="B905" s="304">
        <f t="shared" ca="1" si="413"/>
        <v>18.099999999999874</v>
      </c>
      <c r="D905" s="306">
        <f t="shared" ca="1" si="414"/>
        <v>-2.568970945207556</v>
      </c>
      <c r="E905" s="307">
        <f t="shared" ca="1" si="415"/>
        <v>-13.120305910806016</v>
      </c>
      <c r="F905" s="304">
        <f t="shared" ca="1" si="416"/>
        <v>13.369444225937437</v>
      </c>
      <c r="G905" s="306">
        <f t="shared" ca="1" si="417"/>
        <v>70.089918124489714</v>
      </c>
      <c r="H905" s="307">
        <f t="shared" ca="1" si="418"/>
        <v>89.334957324563035</v>
      </c>
      <c r="I905" s="304">
        <f t="shared" ca="1" si="419"/>
        <v>113.54880546654451</v>
      </c>
      <c r="J905" s="306">
        <f t="shared" ca="1" si="420"/>
        <v>1768.2688451400081</v>
      </c>
      <c r="K905" s="307">
        <f t="shared" ca="1" si="421"/>
        <v>3925.2518922201466</v>
      </c>
      <c r="L905" s="304">
        <f t="shared" ca="1" si="406"/>
        <v>4305.1570384912347</v>
      </c>
      <c r="M905" s="306">
        <f t="shared" ca="1" si="422"/>
        <v>0.90553228393096752</v>
      </c>
      <c r="N905" s="304">
        <f t="shared" ca="1" si="423"/>
        <v>51.883178082086573</v>
      </c>
      <c r="P905" s="310">
        <f t="shared" ca="1" si="424"/>
        <v>23</v>
      </c>
      <c r="Q905" s="304">
        <f t="shared" ca="1" si="425"/>
        <v>0</v>
      </c>
      <c r="R905" s="306">
        <f t="shared" ca="1" si="426"/>
        <v>0</v>
      </c>
      <c r="S905" s="307">
        <f t="shared" ca="1" si="427"/>
        <v>15.089040186296437</v>
      </c>
      <c r="T905" s="304">
        <f t="shared" ca="1" si="407"/>
        <v>148.02348422756805</v>
      </c>
      <c r="U905" s="311">
        <f t="shared" ca="1" si="408"/>
        <v>0</v>
      </c>
      <c r="V905" s="306">
        <f t="shared" ca="1" si="409"/>
        <v>0.82304531299139616</v>
      </c>
      <c r="W905" s="304">
        <f t="shared" ca="1" si="410"/>
        <v>61.860801656751974</v>
      </c>
      <c r="Y905" s="314" t="str">
        <f t="shared" ca="1" si="428"/>
        <v/>
      </c>
      <c r="Z905" s="315" t="str">
        <f t="shared" ca="1" si="429"/>
        <v/>
      </c>
      <c r="AA905" s="316" t="str">
        <f t="shared" ca="1" si="430"/>
        <v/>
      </c>
      <c r="AC905" s="310" t="e">
        <f t="shared" ca="1" si="431"/>
        <v>#N/A</v>
      </c>
      <c r="AD905" s="323" t="e">
        <f t="shared" ca="1" si="432"/>
        <v>#N/A</v>
      </c>
      <c r="AE905" s="324">
        <f t="shared" ca="1" si="411"/>
        <v>3925.2518922201466</v>
      </c>
      <c r="AG905" s="306">
        <f t="shared" ca="1" si="433"/>
        <v>-11.940216131378584</v>
      </c>
      <c r="AH905" s="304">
        <f t="shared" ca="1" si="434"/>
        <v>-4.1901953344012313</v>
      </c>
    </row>
    <row r="906" spans="1:34" x14ac:dyDescent="0.2">
      <c r="A906" s="347">
        <f t="shared" ca="1" si="412"/>
        <v>0.1</v>
      </c>
      <c r="B906" s="304">
        <f t="shared" ca="1" si="413"/>
        <v>18.199999999999875</v>
      </c>
      <c r="D906" s="306">
        <f t="shared" ca="1" si="414"/>
        <v>-2.5306198565690488</v>
      </c>
      <c r="E906" s="307">
        <f t="shared" ca="1" si="415"/>
        <v>-13.035468411730061</v>
      </c>
      <c r="F906" s="304">
        <f t="shared" ca="1" si="416"/>
        <v>13.278835550291065</v>
      </c>
      <c r="G906" s="306">
        <f t="shared" ca="1" si="417"/>
        <v>69.836856138832815</v>
      </c>
      <c r="H906" s="307">
        <f t="shared" ca="1" si="418"/>
        <v>88.031410483390033</v>
      </c>
      <c r="I906" s="304">
        <f t="shared" ca="1" si="419"/>
        <v>112.36865980802273</v>
      </c>
      <c r="J906" s="306">
        <f t="shared" ca="1" si="420"/>
        <v>1775.2651838531742</v>
      </c>
      <c r="K906" s="307">
        <f t="shared" ca="1" si="421"/>
        <v>3934.1202106105443</v>
      </c>
      <c r="L906" s="304">
        <f t="shared" ca="1" si="406"/>
        <v>4316.1172718701237</v>
      </c>
      <c r="M906" s="306">
        <f t="shared" ca="1" si="422"/>
        <v>0.90014339923741749</v>
      </c>
      <c r="N906" s="304">
        <f t="shared" ca="1" si="423"/>
        <v>51.574417732863509</v>
      </c>
      <c r="P906" s="310">
        <f t="shared" ca="1" si="424"/>
        <v>23</v>
      </c>
      <c r="Q906" s="304">
        <f t="shared" ca="1" si="425"/>
        <v>0</v>
      </c>
      <c r="R906" s="306">
        <f t="shared" ca="1" si="426"/>
        <v>0</v>
      </c>
      <c r="S906" s="307">
        <f t="shared" ca="1" si="427"/>
        <v>15.089040186296437</v>
      </c>
      <c r="T906" s="304">
        <f t="shared" ca="1" si="407"/>
        <v>148.02348422756805</v>
      </c>
      <c r="U906" s="311">
        <f t="shared" ca="1" si="408"/>
        <v>0</v>
      </c>
      <c r="V906" s="306">
        <f t="shared" ca="1" si="409"/>
        <v>0.82228645000609546</v>
      </c>
      <c r="W906" s="304">
        <f t="shared" ca="1" si="410"/>
        <v>60.525752030679861</v>
      </c>
      <c r="Y906" s="314" t="str">
        <f t="shared" ca="1" si="428"/>
        <v/>
      </c>
      <c r="Z906" s="315" t="str">
        <f t="shared" ca="1" si="429"/>
        <v/>
      </c>
      <c r="AA906" s="316" t="str">
        <f t="shared" ca="1" si="430"/>
        <v/>
      </c>
      <c r="AC906" s="310" t="e">
        <f t="shared" ca="1" si="431"/>
        <v>#N/A</v>
      </c>
      <c r="AD906" s="323" t="e">
        <f t="shared" ca="1" si="432"/>
        <v>#N/A</v>
      </c>
      <c r="AE906" s="324">
        <f t="shared" ca="1" si="411"/>
        <v>3934.1202106105443</v>
      </c>
      <c r="AG906" s="306">
        <f t="shared" ca="1" si="433"/>
        <v>-11.817772519096172</v>
      </c>
      <c r="AH906" s="304">
        <f t="shared" ca="1" si="434"/>
        <v>-4.09971746996424</v>
      </c>
    </row>
    <row r="907" spans="1:34" x14ac:dyDescent="0.2">
      <c r="A907" s="347">
        <f t="shared" ca="1" si="412"/>
        <v>0.1</v>
      </c>
      <c r="B907" s="304">
        <f t="shared" ca="1" si="413"/>
        <v>18.299999999999876</v>
      </c>
      <c r="D907" s="306">
        <f t="shared" ca="1" si="414"/>
        <v>-2.4929757746212942</v>
      </c>
      <c r="E907" s="307">
        <f t="shared" ca="1" si="415"/>
        <v>-12.952469261568083</v>
      </c>
      <c r="F907" s="304">
        <f t="shared" ca="1" si="416"/>
        <v>13.190200460368853</v>
      </c>
      <c r="G907" s="306">
        <f t="shared" ca="1" si="417"/>
        <v>69.587558561370685</v>
      </c>
      <c r="H907" s="307">
        <f t="shared" ca="1" si="418"/>
        <v>86.736163557233226</v>
      </c>
      <c r="I907" s="304">
        <f t="shared" ca="1" si="419"/>
        <v>111.20067614524341</v>
      </c>
      <c r="J907" s="306">
        <f t="shared" ca="1" si="420"/>
        <v>1782.2364045881843</v>
      </c>
      <c r="K907" s="307">
        <f t="shared" ca="1" si="421"/>
        <v>3942.8585893125755</v>
      </c>
      <c r="L907" s="304">
        <f t="shared" ca="1" si="406"/>
        <v>4326.9504800904961</v>
      </c>
      <c r="M907" s="306">
        <f t="shared" ca="1" si="422"/>
        <v>0.89466058875302801</v>
      </c>
      <c r="N907" s="304">
        <f t="shared" ca="1" si="423"/>
        <v>51.260275832237909</v>
      </c>
      <c r="P907" s="310">
        <f t="shared" ca="1" si="424"/>
        <v>23</v>
      </c>
      <c r="Q907" s="304">
        <f t="shared" ca="1" si="425"/>
        <v>0</v>
      </c>
      <c r="R907" s="306">
        <f t="shared" ca="1" si="426"/>
        <v>0</v>
      </c>
      <c r="S907" s="307">
        <f t="shared" ca="1" si="427"/>
        <v>15.089040186296437</v>
      </c>
      <c r="T907" s="304">
        <f t="shared" ca="1" si="407"/>
        <v>148.02348422756805</v>
      </c>
      <c r="U907" s="311">
        <f t="shared" ca="1" si="408"/>
        <v>0</v>
      </c>
      <c r="V907" s="306">
        <f t="shared" ca="1" si="409"/>
        <v>0.82153925583774012</v>
      </c>
      <c r="W907" s="304">
        <f t="shared" ca="1" si="410"/>
        <v>59.220195153897983</v>
      </c>
      <c r="Y907" s="314" t="str">
        <f t="shared" ca="1" si="428"/>
        <v/>
      </c>
      <c r="Z907" s="315" t="str">
        <f t="shared" ca="1" si="429"/>
        <v/>
      </c>
      <c r="AA907" s="316" t="str">
        <f t="shared" ca="1" si="430"/>
        <v/>
      </c>
      <c r="AC907" s="310" t="e">
        <f t="shared" ca="1" si="431"/>
        <v>#N/A</v>
      </c>
      <c r="AD907" s="323" t="e">
        <f t="shared" ca="1" si="432"/>
        <v>#N/A</v>
      </c>
      <c r="AE907" s="324">
        <f t="shared" ca="1" si="411"/>
        <v>3942.8585893125755</v>
      </c>
      <c r="AG907" s="306">
        <f t="shared" ca="1" si="433"/>
        <v>-11.696550720760452</v>
      </c>
      <c r="AH907" s="304">
        <f t="shared" ca="1" si="434"/>
        <v>-4.0112393686676064</v>
      </c>
    </row>
    <row r="908" spans="1:34" x14ac:dyDescent="0.2">
      <c r="A908" s="347">
        <f t="shared" ca="1" si="412"/>
        <v>0.1</v>
      </c>
      <c r="B908" s="304">
        <f t="shared" ca="1" si="413"/>
        <v>18.399999999999878</v>
      </c>
      <c r="D908" s="306">
        <f t="shared" ca="1" si="414"/>
        <v>-2.4560227814574271</v>
      </c>
      <c r="E908" s="307">
        <f t="shared" ca="1" si="415"/>
        <v>-12.871265520400609</v>
      </c>
      <c r="F908" s="304">
        <f t="shared" ca="1" si="416"/>
        <v>13.103492816790927</v>
      </c>
      <c r="G908" s="306">
        <f t="shared" ca="1" si="417"/>
        <v>69.341956283224945</v>
      </c>
      <c r="H908" s="307">
        <f t="shared" ca="1" si="418"/>
        <v>85.449037005193162</v>
      </c>
      <c r="I908" s="304">
        <f t="shared" ca="1" si="419"/>
        <v>110.04474011191789</v>
      </c>
      <c r="J908" s="306">
        <f t="shared" ca="1" si="420"/>
        <v>1789.182880330414</v>
      </c>
      <c r="K908" s="307">
        <f t="shared" ca="1" si="421"/>
        <v>3951.4678493406968</v>
      </c>
      <c r="L908" s="304">
        <f t="shared" ca="1" si="406"/>
        <v>4337.6576102362696</v>
      </c>
      <c r="M908" s="306">
        <f t="shared" ca="1" si="422"/>
        <v>0.88908197693218294</v>
      </c>
      <c r="N908" s="304">
        <f t="shared" ca="1" si="423"/>
        <v>50.940644919361695</v>
      </c>
      <c r="P908" s="310">
        <f t="shared" ca="1" si="424"/>
        <v>23</v>
      </c>
      <c r="Q908" s="304">
        <f t="shared" ca="1" si="425"/>
        <v>0</v>
      </c>
      <c r="R908" s="306">
        <f t="shared" ca="1" si="426"/>
        <v>0</v>
      </c>
      <c r="S908" s="307">
        <f t="shared" ca="1" si="427"/>
        <v>15.089040186296437</v>
      </c>
      <c r="T908" s="304">
        <f t="shared" ca="1" si="407"/>
        <v>148.02348422756805</v>
      </c>
      <c r="U908" s="311">
        <f t="shared" ca="1" si="408"/>
        <v>0</v>
      </c>
      <c r="V908" s="306">
        <f t="shared" ca="1" si="409"/>
        <v>0.82080363542724599</v>
      </c>
      <c r="W908" s="304">
        <f t="shared" ca="1" si="410"/>
        <v>57.943471038489896</v>
      </c>
      <c r="Y908" s="314" t="str">
        <f t="shared" ca="1" si="428"/>
        <v/>
      </c>
      <c r="Z908" s="315" t="str">
        <f t="shared" ca="1" si="429"/>
        <v/>
      </c>
      <c r="AA908" s="316" t="str">
        <f t="shared" ca="1" si="430"/>
        <v/>
      </c>
      <c r="AC908" s="310" t="e">
        <f t="shared" ca="1" si="431"/>
        <v>#N/A</v>
      </c>
      <c r="AD908" s="323" t="e">
        <f t="shared" ca="1" si="432"/>
        <v>#N/A</v>
      </c>
      <c r="AE908" s="324">
        <f t="shared" ca="1" si="411"/>
        <v>3951.4678493406968</v>
      </c>
      <c r="AG908" s="306">
        <f t="shared" ca="1" si="433"/>
        <v>-11.57648375102832</v>
      </c>
      <c r="AH908" s="304">
        <f t="shared" ca="1" si="434"/>
        <v>-3.9247158482406705</v>
      </c>
    </row>
    <row r="909" spans="1:34" x14ac:dyDescent="0.2">
      <c r="A909" s="347">
        <f t="shared" ca="1" si="412"/>
        <v>0.1</v>
      </c>
      <c r="B909" s="304">
        <f t="shared" ca="1" si="413"/>
        <v>18.499999999999879</v>
      </c>
      <c r="D909" s="306">
        <f t="shared" ca="1" si="414"/>
        <v>-2.4197455126515206</v>
      </c>
      <c r="E909" s="307">
        <f t="shared" ca="1" si="415"/>
        <v>-12.791815554917218</v>
      </c>
      <c r="F909" s="304">
        <f t="shared" ca="1" si="416"/>
        <v>13.018667886424449</v>
      </c>
      <c r="G909" s="306">
        <f t="shared" ca="1" si="417"/>
        <v>69.099981731959787</v>
      </c>
      <c r="H909" s="307">
        <f t="shared" ca="1" si="418"/>
        <v>84.169855449701444</v>
      </c>
      <c r="I909" s="304">
        <f t="shared" ca="1" si="419"/>
        <v>108.90074399094256</v>
      </c>
      <c r="J909" s="306">
        <f t="shared" ca="1" si="420"/>
        <v>1796.1049772311733</v>
      </c>
      <c r="K909" s="307">
        <f t="shared" ca="1" si="421"/>
        <v>3959.9487939634414</v>
      </c>
      <c r="L909" s="304">
        <f t="shared" ca="1" si="406"/>
        <v>4348.2395909203424</v>
      </c>
      <c r="M909" s="306">
        <f t="shared" ca="1" si="422"/>
        <v>0.88340565140438809</v>
      </c>
      <c r="N909" s="304">
        <f t="shared" ca="1" si="423"/>
        <v>50.615415423476684</v>
      </c>
      <c r="P909" s="310">
        <f t="shared" ca="1" si="424"/>
        <v>23</v>
      </c>
      <c r="Q909" s="304">
        <f t="shared" ca="1" si="425"/>
        <v>0</v>
      </c>
      <c r="R909" s="306">
        <f t="shared" ca="1" si="426"/>
        <v>0</v>
      </c>
      <c r="S909" s="307">
        <f t="shared" ca="1" si="427"/>
        <v>15.089040186296437</v>
      </c>
      <c r="T909" s="304">
        <f t="shared" ca="1" si="407"/>
        <v>148.02348422756805</v>
      </c>
      <c r="U909" s="311">
        <f t="shared" ca="1" si="408"/>
        <v>0</v>
      </c>
      <c r="V909" s="306">
        <f t="shared" ca="1" si="409"/>
        <v>0.82007949584371587</v>
      </c>
      <c r="W909" s="304">
        <f t="shared" ca="1" si="410"/>
        <v>56.694940672045107</v>
      </c>
      <c r="Y909" s="314" t="str">
        <f t="shared" ca="1" si="428"/>
        <v/>
      </c>
      <c r="Z909" s="315" t="str">
        <f t="shared" ca="1" si="429"/>
        <v/>
      </c>
      <c r="AA909" s="316" t="str">
        <f t="shared" ca="1" si="430"/>
        <v/>
      </c>
      <c r="AC909" s="310" t="e">
        <f t="shared" ca="1" si="431"/>
        <v>#N/A</v>
      </c>
      <c r="AD909" s="323" t="e">
        <f t="shared" ca="1" si="432"/>
        <v>#N/A</v>
      </c>
      <c r="AE909" s="324">
        <f t="shared" ca="1" si="411"/>
        <v>3959.9487939634414</v>
      </c>
      <c r="AG909" s="306">
        <f t="shared" ca="1" si="433"/>
        <v>-11.457505438135787</v>
      </c>
      <c r="AH909" s="304">
        <f t="shared" ca="1" si="434"/>
        <v>-3.8401031691275493</v>
      </c>
    </row>
    <row r="910" spans="1:34" x14ac:dyDescent="0.2">
      <c r="A910" s="347">
        <f t="shared" ca="1" si="412"/>
        <v>0.1</v>
      </c>
      <c r="B910" s="304">
        <f t="shared" ca="1" si="413"/>
        <v>18.599999999999881</v>
      </c>
      <c r="D910" s="306">
        <f t="shared" ca="1" si="414"/>
        <v>-2.384129139011649</v>
      </c>
      <c r="E910" s="307">
        <f t="shared" ca="1" si="415"/>
        <v>-12.714078987783841</v>
      </c>
      <c r="F910" s="304">
        <f t="shared" ca="1" si="416"/>
        <v>12.935682288116503</v>
      </c>
      <c r="G910" s="306">
        <f t="shared" ca="1" si="417"/>
        <v>68.861568818058615</v>
      </c>
      <c r="H910" s="307">
        <f t="shared" ca="1" si="418"/>
        <v>82.898447550923066</v>
      </c>
      <c r="I910" s="304">
        <f t="shared" ca="1" si="419"/>
        <v>107.76858664025137</v>
      </c>
      <c r="J910" s="306">
        <f t="shared" ca="1" si="420"/>
        <v>1803.0030547586741</v>
      </c>
      <c r="K910" s="307">
        <f t="shared" ca="1" si="421"/>
        <v>3968.3022091134726</v>
      </c>
      <c r="L910" s="304">
        <f t="shared" ca="1" si="406"/>
        <v>4358.6973327272881</v>
      </c>
      <c r="M910" s="306">
        <f t="shared" ca="1" si="422"/>
        <v>0.87762966289280264</v>
      </c>
      <c r="N910" s="304">
        <f t="shared" ca="1" si="423"/>
        <v>50.284475659246787</v>
      </c>
      <c r="P910" s="310">
        <f t="shared" ca="1" si="424"/>
        <v>23</v>
      </c>
      <c r="Q910" s="304">
        <f t="shared" ca="1" si="425"/>
        <v>0</v>
      </c>
      <c r="R910" s="306">
        <f t="shared" ca="1" si="426"/>
        <v>0</v>
      </c>
      <c r="S910" s="307">
        <f t="shared" ca="1" si="427"/>
        <v>15.089040186296437</v>
      </c>
      <c r="T910" s="304">
        <f t="shared" ca="1" si="407"/>
        <v>148.02348422756805</v>
      </c>
      <c r="U910" s="311">
        <f t="shared" ca="1" si="408"/>
        <v>0</v>
      </c>
      <c r="V910" s="306">
        <f t="shared" ca="1" si="409"/>
        <v>0.81936674623406247</v>
      </c>
      <c r="W910" s="304">
        <f t="shared" ca="1" si="410"/>
        <v>55.473985258175588</v>
      </c>
      <c r="Y910" s="314" t="str">
        <f t="shared" ca="1" si="428"/>
        <v/>
      </c>
      <c r="Z910" s="315" t="str">
        <f t="shared" ca="1" si="429"/>
        <v/>
      </c>
      <c r="AA910" s="316" t="str">
        <f t="shared" ca="1" si="430"/>
        <v/>
      </c>
      <c r="AC910" s="310" t="e">
        <f t="shared" ca="1" si="431"/>
        <v>#N/A</v>
      </c>
      <c r="AD910" s="323" t="e">
        <f t="shared" ca="1" si="432"/>
        <v>#N/A</v>
      </c>
      <c r="AE910" s="324">
        <f t="shared" ca="1" si="411"/>
        <v>3968.3022091134726</v>
      </c>
      <c r="AG910" s="306">
        <f t="shared" ca="1" si="433"/>
        <v>-11.339550358194959</v>
      </c>
      <c r="AH910" s="304">
        <f t="shared" ca="1" si="434"/>
        <v>-3.7573589818876827</v>
      </c>
    </row>
    <row r="911" spans="1:34" x14ac:dyDescent="0.2">
      <c r="A911" s="347">
        <f t="shared" ca="1" si="412"/>
        <v>0.1</v>
      </c>
      <c r="B911" s="304">
        <f t="shared" ca="1" si="413"/>
        <v>18.699999999999882</v>
      </c>
      <c r="D911" s="306">
        <f t="shared" ca="1" si="414"/>
        <v>-2.3491593491792337</v>
      </c>
      <c r="E911" s="307">
        <f t="shared" ca="1" si="415"/>
        <v>-12.638016649043076</v>
      </c>
      <c r="F911" s="304">
        <f t="shared" ca="1" si="416"/>
        <v>12.854493940615717</v>
      </c>
      <c r="G911" s="306">
        <f t="shared" ca="1" si="417"/>
        <v>68.626652883140693</v>
      </c>
      <c r="H911" s="307">
        <f t="shared" ca="1" si="418"/>
        <v>81.63464588601876</v>
      </c>
      <c r="I911" s="304">
        <f t="shared" ca="1" si="419"/>
        <v>106.64817342495259</v>
      </c>
      <c r="J911" s="306">
        <f t="shared" ca="1" si="420"/>
        <v>1809.8774658437342</v>
      </c>
      <c r="K911" s="307">
        <f t="shared" ca="1" si="421"/>
        <v>3976.5288637853196</v>
      </c>
      <c r="L911" s="304">
        <f t="shared" ca="1" si="406"/>
        <v>4369.0317286427098</v>
      </c>
      <c r="M911" s="306">
        <f t="shared" ca="1" si="422"/>
        <v>0.87175202520253414</v>
      </c>
      <c r="N911" s="304">
        <f t="shared" ca="1" si="423"/>
        <v>49.947711826087378</v>
      </c>
      <c r="P911" s="310">
        <f t="shared" ca="1" si="424"/>
        <v>23</v>
      </c>
      <c r="Q911" s="304">
        <f t="shared" ca="1" si="425"/>
        <v>0</v>
      </c>
      <c r="R911" s="306">
        <f t="shared" ca="1" si="426"/>
        <v>0</v>
      </c>
      <c r="S911" s="307">
        <f t="shared" ca="1" si="427"/>
        <v>15.089040186296437</v>
      </c>
      <c r="T911" s="304">
        <f t="shared" ca="1" si="407"/>
        <v>148.02348422756805</v>
      </c>
      <c r="U911" s="311">
        <f t="shared" ca="1" si="408"/>
        <v>0</v>
      </c>
      <c r="V911" s="306">
        <f t="shared" ca="1" si="409"/>
        <v>0.81866529777421981</v>
      </c>
      <c r="W911" s="304">
        <f t="shared" ca="1" si="410"/>
        <v>54.280005489542567</v>
      </c>
      <c r="Y911" s="314" t="str">
        <f t="shared" ca="1" si="428"/>
        <v/>
      </c>
      <c r="Z911" s="315" t="str">
        <f t="shared" ca="1" si="429"/>
        <v/>
      </c>
      <c r="AA911" s="316" t="str">
        <f t="shared" ca="1" si="430"/>
        <v/>
      </c>
      <c r="AC911" s="310" t="e">
        <f t="shared" ca="1" si="431"/>
        <v>#N/A</v>
      </c>
      <c r="AD911" s="323" t="e">
        <f t="shared" ca="1" si="432"/>
        <v>#N/A</v>
      </c>
      <c r="AE911" s="324">
        <f t="shared" ca="1" si="411"/>
        <v>3976.5288637853196</v>
      </c>
      <c r="AG911" s="306">
        <f t="shared" ca="1" si="433"/>
        <v>-11.222553772128235</v>
      </c>
      <c r="AH911" s="304">
        <f t="shared" ca="1" si="434"/>
        <v>-3.6764422768623777</v>
      </c>
    </row>
    <row r="912" spans="1:34" x14ac:dyDescent="0.2">
      <c r="A912" s="347">
        <f t="shared" ca="1" si="412"/>
        <v>0.1</v>
      </c>
      <c r="B912" s="304">
        <f t="shared" ca="1" si="413"/>
        <v>18.799999999999883</v>
      </c>
      <c r="D912" s="306">
        <f t="shared" ca="1" si="414"/>
        <v>-2.3148223330332658</v>
      </c>
      <c r="E912" s="307">
        <f t="shared" ca="1" si="415"/>
        <v>-12.563590529440525</v>
      </c>
      <c r="F912" s="304">
        <f t="shared" ca="1" si="416"/>
        <v>12.775062012567972</v>
      </c>
      <c r="G912" s="306">
        <f t="shared" ca="1" si="417"/>
        <v>68.395170649837368</v>
      </c>
      <c r="H912" s="307">
        <f t="shared" ca="1" si="418"/>
        <v>80.378286833074711</v>
      </c>
      <c r="I912" s="304">
        <f t="shared" ca="1" si="419"/>
        <v>105.53941615548385</v>
      </c>
      <c r="J912" s="306">
        <f t="shared" ca="1" si="420"/>
        <v>1816.7285570203831</v>
      </c>
      <c r="K912" s="307">
        <f t="shared" ca="1" si="421"/>
        <v>3984.6295104212741</v>
      </c>
      <c r="L912" s="304">
        <f t="shared" ca="1" si="406"/>
        <v>4379.2436544697357</v>
      </c>
      <c r="M912" s="306">
        <f t="shared" ca="1" si="422"/>
        <v>0.86577071528591221</v>
      </c>
      <c r="N912" s="304">
        <f t="shared" ca="1" si="423"/>
        <v>49.605008011905198</v>
      </c>
      <c r="P912" s="310">
        <f t="shared" ca="1" si="424"/>
        <v>23</v>
      </c>
      <c r="Q912" s="304">
        <f t="shared" ca="1" si="425"/>
        <v>0</v>
      </c>
      <c r="R912" s="306">
        <f t="shared" ca="1" si="426"/>
        <v>0</v>
      </c>
      <c r="S912" s="307">
        <f t="shared" ca="1" si="427"/>
        <v>15.089040186296437</v>
      </c>
      <c r="T912" s="304">
        <f t="shared" ca="1" si="407"/>
        <v>148.02348422756805</v>
      </c>
      <c r="U912" s="311">
        <f t="shared" ca="1" si="408"/>
        <v>0</v>
      </c>
      <c r="V912" s="306">
        <f t="shared" ca="1" si="409"/>
        <v>0.817975063621875</v>
      </c>
      <c r="W912" s="304">
        <f t="shared" ca="1" si="410"/>
        <v>53.112420851803293</v>
      </c>
      <c r="Y912" s="314" t="str">
        <f t="shared" ca="1" si="428"/>
        <v/>
      </c>
      <c r="Z912" s="315" t="str">
        <f t="shared" ca="1" si="429"/>
        <v/>
      </c>
      <c r="AA912" s="316" t="str">
        <f t="shared" ca="1" si="430"/>
        <v/>
      </c>
      <c r="AC912" s="310" t="e">
        <f t="shared" ca="1" si="431"/>
        <v>#N/A</v>
      </c>
      <c r="AD912" s="323" t="e">
        <f t="shared" ca="1" si="432"/>
        <v>#N/A</v>
      </c>
      <c r="AE912" s="324">
        <f t="shared" ca="1" si="411"/>
        <v>3984.6295104212741</v>
      </c>
      <c r="AG912" s="306">
        <f t="shared" ca="1" si="433"/>
        <v>-11.106451565216375</v>
      </c>
      <c r="AH912" s="304">
        <f t="shared" ca="1" si="434"/>
        <v>-3.5973133359959224</v>
      </c>
    </row>
    <row r="913" spans="1:34" x14ac:dyDescent="0.2">
      <c r="A913" s="347">
        <f t="shared" ca="1" si="412"/>
        <v>0.1</v>
      </c>
      <c r="B913" s="304">
        <f t="shared" ca="1" si="413"/>
        <v>18.899999999999885</v>
      </c>
      <c r="D913" s="306">
        <f t="shared" ca="1" si="414"/>
        <v>-2.281104765860023</v>
      </c>
      <c r="E913" s="307">
        <f t="shared" ca="1" si="415"/>
        <v>-12.49076373557563</v>
      </c>
      <c r="F913" s="304">
        <f t="shared" ca="1" si="416"/>
        <v>12.697346874477383</v>
      </c>
      <c r="G913" s="306">
        <f t="shared" ca="1" si="417"/>
        <v>68.167060173251372</v>
      </c>
      <c r="H913" s="307">
        <f t="shared" ca="1" si="418"/>
        <v>79.129210459517154</v>
      </c>
      <c r="I913" s="304">
        <f t="shared" ca="1" si="419"/>
        <v>104.44223303151955</v>
      </c>
      <c r="J913" s="306">
        <f t="shared" ca="1" si="420"/>
        <v>1823.5566685615374</v>
      </c>
      <c r="K913" s="307">
        <f t="shared" ca="1" si="421"/>
        <v>3992.6048852859035</v>
      </c>
      <c r="L913" s="304">
        <f t="shared" ca="1" si="406"/>
        <v>4389.3339692331583</v>
      </c>
      <c r="M913" s="306">
        <f t="shared" ca="1" si="422"/>
        <v>0.85968367339248097</v>
      </c>
      <c r="N913" s="304">
        <f t="shared" ca="1" si="423"/>
        <v>49.256246201692264</v>
      </c>
      <c r="P913" s="310">
        <f t="shared" ca="1" si="424"/>
        <v>23</v>
      </c>
      <c r="Q913" s="304">
        <f t="shared" ca="1" si="425"/>
        <v>0</v>
      </c>
      <c r="R913" s="306">
        <f t="shared" ca="1" si="426"/>
        <v>0</v>
      </c>
      <c r="S913" s="307">
        <f t="shared" ca="1" si="427"/>
        <v>15.089040186296437</v>
      </c>
      <c r="T913" s="304">
        <f t="shared" ca="1" si="407"/>
        <v>148.02348422756805</v>
      </c>
      <c r="U913" s="311">
        <f t="shared" ca="1" si="408"/>
        <v>0</v>
      </c>
      <c r="V913" s="306">
        <f t="shared" ca="1" si="409"/>
        <v>0.81729595887066608</v>
      </c>
      <c r="W913" s="304">
        <f t="shared" ca="1" si="410"/>
        <v>51.970668956974208</v>
      </c>
      <c r="Y913" s="314" t="str">
        <f t="shared" ca="1" si="428"/>
        <v/>
      </c>
      <c r="Z913" s="315" t="str">
        <f t="shared" ca="1" si="429"/>
        <v/>
      </c>
      <c r="AA913" s="316" t="str">
        <f t="shared" ca="1" si="430"/>
        <v/>
      </c>
      <c r="AC913" s="310" t="e">
        <f t="shared" ca="1" si="431"/>
        <v>#N/A</v>
      </c>
      <c r="AD913" s="323" t="e">
        <f t="shared" ca="1" si="432"/>
        <v>#N/A</v>
      </c>
      <c r="AE913" s="324">
        <f t="shared" ca="1" si="411"/>
        <v>3992.6048852859035</v>
      </c>
      <c r="AG913" s="306">
        <f t="shared" ca="1" si="433"/>
        <v>-10.991180189252404</v>
      </c>
      <c r="AH913" s="304">
        <f t="shared" ca="1" si="434"/>
        <v>-3.5199336867058602</v>
      </c>
    </row>
    <row r="914" spans="1:34" x14ac:dyDescent="0.2">
      <c r="A914" s="347">
        <f t="shared" ca="1" si="412"/>
        <v>0.1</v>
      </c>
      <c r="B914" s="304">
        <f t="shared" ca="1" si="413"/>
        <v>18.999999999999886</v>
      </c>
      <c r="D914" s="306">
        <f t="shared" ca="1" si="414"/>
        <v>-2.2479937932508363</v>
      </c>
      <c r="E914" s="307">
        <f t="shared" ca="1" si="415"/>
        <v>-12.419500446780809</v>
      </c>
      <c r="F914" s="304">
        <f t="shared" ca="1" si="416"/>
        <v>12.62131005252953</v>
      </c>
      <c r="G914" s="306">
        <f t="shared" ca="1" si="417"/>
        <v>67.942260793926295</v>
      </c>
      <c r="H914" s="307">
        <f t="shared" ca="1" si="418"/>
        <v>77.887260414839076</v>
      </c>
      <c r="I914" s="304">
        <f t="shared" ca="1" si="419"/>
        <v>103.35654859136335</v>
      </c>
      <c r="J914" s="306">
        <f t="shared" ca="1" si="420"/>
        <v>1830.3621346098964</v>
      </c>
      <c r="K914" s="307">
        <f t="shared" ca="1" si="421"/>
        <v>4000.4557088296215</v>
      </c>
      <c r="L914" s="304">
        <f t="shared" ca="1" si="406"/>
        <v>4399.3035155716643</v>
      </c>
      <c r="M914" s="306">
        <f t="shared" ca="1" si="422"/>
        <v>0.85348880331200228</v>
      </c>
      <c r="N914" s="304">
        <f t="shared" ca="1" si="423"/>
        <v>48.901306291448968</v>
      </c>
      <c r="P914" s="310">
        <f t="shared" ca="1" si="424"/>
        <v>23</v>
      </c>
      <c r="Q914" s="304">
        <f t="shared" ca="1" si="425"/>
        <v>0</v>
      </c>
      <c r="R914" s="306">
        <f t="shared" ca="1" si="426"/>
        <v>0</v>
      </c>
      <c r="S914" s="307">
        <f t="shared" ca="1" si="427"/>
        <v>15.089040186296437</v>
      </c>
      <c r="T914" s="304">
        <f t="shared" ca="1" si="407"/>
        <v>148.02348422756805</v>
      </c>
      <c r="U914" s="311">
        <f t="shared" ca="1" si="408"/>
        <v>0</v>
      </c>
      <c r="V914" s="306">
        <f t="shared" ca="1" si="409"/>
        <v>0.81662790050578915</v>
      </c>
      <c r="W914" s="304">
        <f t="shared" ca="1" si="410"/>
        <v>50.854204904787714</v>
      </c>
      <c r="Y914" s="314" t="str">
        <f t="shared" ca="1" si="428"/>
        <v/>
      </c>
      <c r="Z914" s="315" t="str">
        <f t="shared" ca="1" si="429"/>
        <v/>
      </c>
      <c r="AA914" s="316" t="str">
        <f t="shared" ca="1" si="430"/>
        <v/>
      </c>
      <c r="AC914" s="310">
        <f t="shared" ca="1" si="431"/>
        <v>18.999999999999886</v>
      </c>
      <c r="AD914" s="323">
        <f t="shared" ca="1" si="432"/>
        <v>1830.3621346098964</v>
      </c>
      <c r="AE914" s="324">
        <f t="shared" ca="1" si="411"/>
        <v>4000.4557088296215</v>
      </c>
      <c r="AG914" s="306">
        <f t="shared" ca="1" si="433"/>
        <v>-10.876676607308688</v>
      </c>
      <c r="AH914" s="304">
        <f t="shared" ca="1" si="434"/>
        <v>-3.4442660577027904</v>
      </c>
    </row>
    <row r="915" spans="1:34" x14ac:dyDescent="0.2">
      <c r="A915" s="347">
        <f t="shared" ca="1" si="412"/>
        <v>0.1</v>
      </c>
      <c r="B915" s="304">
        <f t="shared" ca="1" si="413"/>
        <v>19.099999999999888</v>
      </c>
      <c r="D915" s="306">
        <f t="shared" ca="1" si="414"/>
        <v>-2.2154770166922115</v>
      </c>
      <c r="E915" s="307">
        <f t="shared" ca="1" si="415"/>
        <v>-12.349765873637558</v>
      </c>
      <c r="F915" s="304">
        <f t="shared" ca="1" si="416"/>
        <v>12.546914184179084</v>
      </c>
      <c r="G915" s="306">
        <f t="shared" ca="1" si="417"/>
        <v>67.720713092257071</v>
      </c>
      <c r="H915" s="307">
        <f t="shared" ca="1" si="418"/>
        <v>76.652283827475316</v>
      </c>
      <c r="I915" s="304">
        <f t="shared" ca="1" si="419"/>
        <v>102.28229366655614</v>
      </c>
      <c r="J915" s="306">
        <f t="shared" ca="1" si="420"/>
        <v>1837.1452833042056</v>
      </c>
      <c r="K915" s="307">
        <f t="shared" ca="1" si="421"/>
        <v>4008.1826860417373</v>
      </c>
      <c r="L915" s="304">
        <f t="shared" ca="1" si="406"/>
        <v>4409.1531201186062</v>
      </c>
      <c r="M915" s="306">
        <f t="shared" ca="1" si="422"/>
        <v>0.84718397271933199</v>
      </c>
      <c r="N915" s="304">
        <f t="shared" ca="1" si="423"/>
        <v>48.540066107943993</v>
      </c>
      <c r="P915" s="310">
        <f t="shared" ca="1" si="424"/>
        <v>23</v>
      </c>
      <c r="Q915" s="304">
        <f t="shared" ca="1" si="425"/>
        <v>0</v>
      </c>
      <c r="R915" s="306">
        <f t="shared" ca="1" si="426"/>
        <v>0</v>
      </c>
      <c r="S915" s="307">
        <f t="shared" ca="1" si="427"/>
        <v>15.089040186296437</v>
      </c>
      <c r="T915" s="304">
        <f t="shared" ca="1" si="407"/>
        <v>148.02348422756805</v>
      </c>
      <c r="U915" s="311">
        <f t="shared" ca="1" si="408"/>
        <v>0</v>
      </c>
      <c r="V915" s="306">
        <f t="shared" ca="1" si="409"/>
        <v>0.81597080736095895</v>
      </c>
      <c r="W915" s="304">
        <f t="shared" ca="1" si="410"/>
        <v>49.762500670696539</v>
      </c>
      <c r="Y915" s="314" t="str">
        <f t="shared" ca="1" si="428"/>
        <v/>
      </c>
      <c r="Z915" s="315" t="str">
        <f t="shared" ca="1" si="429"/>
        <v/>
      </c>
      <c r="AA915" s="316" t="str">
        <f t="shared" ca="1" si="430"/>
        <v/>
      </c>
      <c r="AC915" s="310" t="e">
        <f t="shared" ca="1" si="431"/>
        <v>#N/A</v>
      </c>
      <c r="AD915" s="323" t="e">
        <f t="shared" ca="1" si="432"/>
        <v>#N/A</v>
      </c>
      <c r="AE915" s="324">
        <f t="shared" ca="1" si="411"/>
        <v>4008.1826860417373</v>
      </c>
      <c r="AG915" s="306">
        <f t="shared" ca="1" si="433"/>
        <v>-10.762878241140381</v>
      </c>
      <c r="AH915" s="304">
        <f t="shared" ca="1" si="434"/>
        <v>-3.3702743366653953</v>
      </c>
    </row>
    <row r="916" spans="1:34" x14ac:dyDescent="0.2">
      <c r="A916" s="347">
        <f t="shared" ca="1" si="412"/>
        <v>0.1</v>
      </c>
      <c r="B916" s="304">
        <f t="shared" ca="1" si="413"/>
        <v>19.199999999999889</v>
      </c>
      <c r="D916" s="306">
        <f t="shared" ca="1" si="414"/>
        <v>-2.1835424798142729</v>
      </c>
      <c r="E916" s="307">
        <f t="shared" ca="1" si="415"/>
        <v>-12.281526218042877</v>
      </c>
      <c r="F916" s="304">
        <f t="shared" ca="1" si="416"/>
        <v>12.474122975409054</v>
      </c>
      <c r="G916" s="306">
        <f t="shared" ca="1" si="417"/>
        <v>67.502358844275648</v>
      </c>
      <c r="H916" s="307">
        <f t="shared" ca="1" si="418"/>
        <v>75.424131205671031</v>
      </c>
      <c r="I916" s="304">
        <f t="shared" ca="1" si="419"/>
        <v>101.2194053414247</v>
      </c>
      <c r="J916" s="306">
        <f t="shared" ca="1" si="420"/>
        <v>1843.9064369010323</v>
      </c>
      <c r="K916" s="307">
        <f t="shared" ca="1" si="421"/>
        <v>4015.7865067933944</v>
      </c>
      <c r="L916" s="304">
        <f t="shared" ca="1" si="406"/>
        <v>4418.8835938717548</v>
      </c>
      <c r="M916" s="306">
        <f t="shared" ca="1" si="422"/>
        <v>0.840767013630631</v>
      </c>
      <c r="N916" s="304">
        <f t="shared" ca="1" si="423"/>
        <v>48.172401434853313</v>
      </c>
      <c r="P916" s="310">
        <f t="shared" ca="1" si="424"/>
        <v>23</v>
      </c>
      <c r="Q916" s="304">
        <f t="shared" ca="1" si="425"/>
        <v>0</v>
      </c>
      <c r="R916" s="306">
        <f t="shared" ca="1" si="426"/>
        <v>0</v>
      </c>
      <c r="S916" s="307">
        <f t="shared" ca="1" si="427"/>
        <v>15.089040186296437</v>
      </c>
      <c r="T916" s="304">
        <f t="shared" ca="1" si="407"/>
        <v>148.02348422756805</v>
      </c>
      <c r="U916" s="311">
        <f t="shared" ca="1" si="408"/>
        <v>0</v>
      </c>
      <c r="V916" s="306">
        <f t="shared" ca="1" si="409"/>
        <v>0.8153246000766734</v>
      </c>
      <c r="W916" s="304">
        <f t="shared" ca="1" si="410"/>
        <v>48.695044519250139</v>
      </c>
      <c r="Y916" s="314" t="str">
        <f t="shared" ca="1" si="428"/>
        <v/>
      </c>
      <c r="Z916" s="315" t="str">
        <f t="shared" ca="1" si="429"/>
        <v/>
      </c>
      <c r="AA916" s="316" t="str">
        <f t="shared" ca="1" si="430"/>
        <v/>
      </c>
      <c r="AC916" s="310" t="e">
        <f t="shared" ca="1" si="431"/>
        <v>#N/A</v>
      </c>
      <c r="AD916" s="323" t="e">
        <f t="shared" ca="1" si="432"/>
        <v>#N/A</v>
      </c>
      <c r="AE916" s="324">
        <f t="shared" ca="1" si="411"/>
        <v>4015.7865067933944</v>
      </c>
      <c r="AG916" s="306">
        <f t="shared" ca="1" si="433"/>
        <v>-10.649722921264797</v>
      </c>
      <c r="AH916" s="304">
        <f t="shared" ca="1" si="434"/>
        <v>-3.2979235296814866</v>
      </c>
    </row>
    <row r="917" spans="1:34" x14ac:dyDescent="0.2">
      <c r="A917" s="347">
        <f t="shared" ca="1" si="412"/>
        <v>0.1</v>
      </c>
      <c r="B917" s="304">
        <f t="shared" ca="1" si="413"/>
        <v>19.299999999999891</v>
      </c>
      <c r="D917" s="306">
        <f t="shared" ca="1" si="414"/>
        <v>-2.1521786552649607</v>
      </c>
      <c r="E917" s="307">
        <f t="shared" ca="1" si="415"/>
        <v>-12.214748634743669</v>
      </c>
      <c r="F917" s="304">
        <f t="shared" ca="1" si="416"/>
        <v>12.402901159573531</v>
      </c>
      <c r="G917" s="306">
        <f t="shared" ca="1" si="417"/>
        <v>67.28714097874915</v>
      </c>
      <c r="H917" s="307">
        <f t="shared" ca="1" si="418"/>
        <v>74.202656342196661</v>
      </c>
      <c r="I917" s="304">
        <f t="shared" ca="1" si="419"/>
        <v>100.16782691729017</v>
      </c>
      <c r="J917" s="306">
        <f t="shared" ca="1" si="420"/>
        <v>1850.6459118921834</v>
      </c>
      <c r="K917" s="307">
        <f t="shared" ca="1" si="421"/>
        <v>4023.2678461707878</v>
      </c>
      <c r="L917" s="304">
        <f t="shared" ca="1" si="406"/>
        <v>4428.4957325524183</v>
      </c>
      <c r="M917" s="306">
        <f t="shared" ca="1" si="422"/>
        <v>0.83423572298099824</v>
      </c>
      <c r="N917" s="304">
        <f t="shared" ca="1" si="423"/>
        <v>47.798186045856099</v>
      </c>
      <c r="P917" s="310">
        <f t="shared" ca="1" si="424"/>
        <v>23</v>
      </c>
      <c r="Q917" s="304">
        <f t="shared" ca="1" si="425"/>
        <v>0</v>
      </c>
      <c r="R917" s="306">
        <f t="shared" ca="1" si="426"/>
        <v>0</v>
      </c>
      <c r="S917" s="307">
        <f t="shared" ca="1" si="427"/>
        <v>15.089040186296437</v>
      </c>
      <c r="T917" s="304">
        <f t="shared" ca="1" si="407"/>
        <v>148.02348422756805</v>
      </c>
      <c r="U917" s="311">
        <f t="shared" ca="1" si="408"/>
        <v>0</v>
      </c>
      <c r="V917" s="306">
        <f t="shared" ca="1" si="409"/>
        <v>0.81468920105973031</v>
      </c>
      <c r="W917" s="304">
        <f t="shared" ca="1" si="410"/>
        <v>47.651340441635845</v>
      </c>
      <c r="Y917" s="314" t="str">
        <f t="shared" ca="1" si="428"/>
        <v/>
      </c>
      <c r="Z917" s="315" t="str">
        <f t="shared" ca="1" si="429"/>
        <v/>
      </c>
      <c r="AA917" s="316" t="str">
        <f t="shared" ca="1" si="430"/>
        <v/>
      </c>
      <c r="AC917" s="310" t="e">
        <f t="shared" ca="1" si="431"/>
        <v>#N/A</v>
      </c>
      <c r="AD917" s="323" t="e">
        <f t="shared" ca="1" si="432"/>
        <v>#N/A</v>
      </c>
      <c r="AE917" s="324">
        <f t="shared" ca="1" si="411"/>
        <v>4023.2678461707878</v>
      </c>
      <c r="AG917" s="306">
        <f t="shared" ca="1" si="433"/>
        <v>-10.537148839772774</v>
      </c>
      <c r="AH917" s="304">
        <f t="shared" ca="1" si="434"/>
        <v>-3.2271797223705456</v>
      </c>
    </row>
    <row r="918" spans="1:34" x14ac:dyDescent="0.2">
      <c r="A918" s="347">
        <f t="shared" ca="1" si="412"/>
        <v>0.1</v>
      </c>
      <c r="B918" s="304">
        <f t="shared" ca="1" si="413"/>
        <v>19.399999999999892</v>
      </c>
      <c r="D918" s="306">
        <f t="shared" ca="1" si="414"/>
        <v>-2.1213744321788153</v>
      </c>
      <c r="E918" s="307">
        <f t="shared" ca="1" si="415"/>
        <v>-12.1494011942609</v>
      </c>
      <c r="F918" s="304">
        <f t="shared" ca="1" si="416"/>
        <v>12.333214457740132</v>
      </c>
      <c r="G918" s="306">
        <f t="shared" ca="1" si="417"/>
        <v>67.075003535531266</v>
      </c>
      <c r="H918" s="307">
        <f t="shared" ca="1" si="418"/>
        <v>72.987716222770572</v>
      </c>
      <c r="I918" s="304">
        <f t="shared" ca="1" si="419"/>
        <v>99.127507881047933</v>
      </c>
      <c r="J918" s="306">
        <f t="shared" ca="1" si="420"/>
        <v>1857.3640191178974</v>
      </c>
      <c r="K918" s="307">
        <f t="shared" ca="1" si="421"/>
        <v>4030.6273647990361</v>
      </c>
      <c r="L918" s="304">
        <f t="shared" ca="1" si="406"/>
        <v>4437.9903169543541</v>
      </c>
      <c r="M918" s="306">
        <f t="shared" ca="1" si="422"/>
        <v>0.82758786333425238</v>
      </c>
      <c r="N918" s="304">
        <f t="shared" ca="1" si="423"/>
        <v>47.417291745302229</v>
      </c>
      <c r="P918" s="310">
        <f t="shared" ca="1" si="424"/>
        <v>23</v>
      </c>
      <c r="Q918" s="304">
        <f t="shared" ca="1" si="425"/>
        <v>0</v>
      </c>
      <c r="R918" s="306">
        <f t="shared" ca="1" si="426"/>
        <v>0</v>
      </c>
      <c r="S918" s="307">
        <f t="shared" ca="1" si="427"/>
        <v>15.089040186296437</v>
      </c>
      <c r="T918" s="304">
        <f t="shared" ca="1" si="407"/>
        <v>148.02348422756805</v>
      </c>
      <c r="U918" s="311">
        <f t="shared" ca="1" si="408"/>
        <v>0</v>
      </c>
      <c r="V918" s="306">
        <f t="shared" ca="1" si="409"/>
        <v>0.81406453444395044</v>
      </c>
      <c r="W918" s="304">
        <f t="shared" ca="1" si="410"/>
        <v>46.630907616240357</v>
      </c>
      <c r="Y918" s="314" t="str">
        <f t="shared" ca="1" si="428"/>
        <v/>
      </c>
      <c r="Z918" s="315" t="str">
        <f t="shared" ca="1" si="429"/>
        <v/>
      </c>
      <c r="AA918" s="316" t="str">
        <f t="shared" ca="1" si="430"/>
        <v/>
      </c>
      <c r="AC918" s="310" t="e">
        <f t="shared" ca="1" si="431"/>
        <v>#N/A</v>
      </c>
      <c r="AD918" s="323" t="e">
        <f t="shared" ca="1" si="432"/>
        <v>#N/A</v>
      </c>
      <c r="AE918" s="324">
        <f t="shared" ca="1" si="411"/>
        <v>4030.6273647990361</v>
      </c>
      <c r="AG918" s="306">
        <f t="shared" ca="1" si="433"/>
        <v>-10.425094505945536</v>
      </c>
      <c r="AH918" s="304">
        <f t="shared" ca="1" si="434"/>
        <v>-3.1580100426077355</v>
      </c>
    </row>
    <row r="919" spans="1:34" x14ac:dyDescent="0.2">
      <c r="A919" s="347">
        <f t="shared" ca="1" si="412"/>
        <v>0.1</v>
      </c>
      <c r="B919" s="304">
        <f t="shared" ca="1" si="413"/>
        <v>19.499999999999893</v>
      </c>
      <c r="D919" s="306">
        <f t="shared" ca="1" si="414"/>
        <v>-2.0911191042104398</v>
      </c>
      <c r="E919" s="307">
        <f t="shared" ca="1" si="415"/>
        <v>-12.085452847129201</v>
      </c>
      <c r="F919" s="304">
        <f t="shared" ca="1" si="416"/>
        <v>12.265029540452691</v>
      </c>
      <c r="G919" s="306">
        <f t="shared" ca="1" si="417"/>
        <v>66.865891625110223</v>
      </c>
      <c r="H919" s="307">
        <f t="shared" ca="1" si="418"/>
        <v>71.779170938057646</v>
      </c>
      <c r="I919" s="304">
        <f t="shared" ca="1" si="419"/>
        <v>98.098403877819976</v>
      </c>
      <c r="J919" s="306">
        <f t="shared" ca="1" si="420"/>
        <v>1864.0610638759294</v>
      </c>
      <c r="K919" s="307">
        <f t="shared" ca="1" si="421"/>
        <v>4037.8657091570776</v>
      </c>
      <c r="L919" s="304">
        <f t="shared" ca="1" si="406"/>
        <v>4447.3681132828269</v>
      </c>
      <c r="M919" s="306">
        <f t="shared" ca="1" si="422"/>
        <v>0.82082116373625447</v>
      </c>
      <c r="N919" s="304">
        <f t="shared" ca="1" si="423"/>
        <v>47.02958841710408</v>
      </c>
      <c r="P919" s="310">
        <f t="shared" ca="1" si="424"/>
        <v>23</v>
      </c>
      <c r="Q919" s="304">
        <f t="shared" ca="1" si="425"/>
        <v>0</v>
      </c>
      <c r="R919" s="306">
        <f t="shared" ca="1" si="426"/>
        <v>0</v>
      </c>
      <c r="S919" s="307">
        <f t="shared" ca="1" si="427"/>
        <v>15.089040186296437</v>
      </c>
      <c r="T919" s="304">
        <f t="shared" ca="1" si="407"/>
        <v>148.02348422756805</v>
      </c>
      <c r="U919" s="311">
        <f t="shared" ca="1" si="408"/>
        <v>0</v>
      </c>
      <c r="V919" s="306">
        <f t="shared" ca="1" si="409"/>
        <v>0.81345052605205925</v>
      </c>
      <c r="W919" s="304">
        <f t="shared" ca="1" si="410"/>
        <v>45.633279891146842</v>
      </c>
      <c r="Y919" s="314" t="str">
        <f t="shared" ca="1" si="428"/>
        <v/>
      </c>
      <c r="Z919" s="315" t="str">
        <f t="shared" ca="1" si="429"/>
        <v/>
      </c>
      <c r="AA919" s="316" t="str">
        <f t="shared" ca="1" si="430"/>
        <v/>
      </c>
      <c r="AC919" s="310" t="e">
        <f t="shared" ca="1" si="431"/>
        <v>#N/A</v>
      </c>
      <c r="AD919" s="323" t="e">
        <f t="shared" ca="1" si="432"/>
        <v>#N/A</v>
      </c>
      <c r="AE919" s="324">
        <f t="shared" ca="1" si="411"/>
        <v>4037.8657091570776</v>
      </c>
      <c r="AG919" s="306">
        <f t="shared" ca="1" si="433"/>
        <v>-10.313498704768056</v>
      </c>
      <c r="AH919" s="304">
        <f t="shared" ca="1" si="434"/>
        <v>-3.0903826247735497</v>
      </c>
    </row>
    <row r="920" spans="1:34" x14ac:dyDescent="0.2">
      <c r="A920" s="347">
        <f t="shared" ca="1" si="412"/>
        <v>0.1</v>
      </c>
      <c r="B920" s="304">
        <f t="shared" ca="1" si="413"/>
        <v>19.599999999999895</v>
      </c>
      <c r="D920" s="306">
        <f t="shared" ca="1" si="414"/>
        <v>-2.061402358103877</v>
      </c>
      <c r="E920" s="307">
        <f t="shared" ca="1" si="415"/>
        <v>-12.022873389381195</v>
      </c>
      <c r="F920" s="304">
        <f t="shared" ca="1" si="416"/>
        <v>12.198313990838516</v>
      </c>
      <c r="G920" s="306">
        <f t="shared" ca="1" si="417"/>
        <v>66.659751389299828</v>
      </c>
      <c r="H920" s="307">
        <f t="shared" ca="1" si="418"/>
        <v>70.576883599119526</v>
      </c>
      <c r="I920" s="304">
        <f t="shared" ca="1" si="419"/>
        <v>97.080476687369668</v>
      </c>
      <c r="J920" s="306">
        <f t="shared" ca="1" si="420"/>
        <v>1870.7373460266499</v>
      </c>
      <c r="K920" s="307">
        <f t="shared" ca="1" si="421"/>
        <v>4044.9835118839364</v>
      </c>
      <c r="L920" s="304">
        <f t="shared" ca="1" si="406"/>
        <v>4456.629873484193</v>
      </c>
      <c r="M920" s="306">
        <f t="shared" ca="1" si="422"/>
        <v>0.81393332072384672</v>
      </c>
      <c r="N920" s="304">
        <f t="shared" ca="1" si="423"/>
        <v>46.634944082544443</v>
      </c>
      <c r="P920" s="310">
        <f t="shared" ca="1" si="424"/>
        <v>23</v>
      </c>
      <c r="Q920" s="304">
        <f t="shared" ca="1" si="425"/>
        <v>0</v>
      </c>
      <c r="R920" s="306">
        <f t="shared" ca="1" si="426"/>
        <v>0</v>
      </c>
      <c r="S920" s="307">
        <f t="shared" ca="1" si="427"/>
        <v>15.089040186296437</v>
      </c>
      <c r="T920" s="304">
        <f t="shared" ca="1" si="407"/>
        <v>148.02348422756805</v>
      </c>
      <c r="U920" s="311">
        <f t="shared" ca="1" si="408"/>
        <v>0</v>
      </c>
      <c r="V920" s="306">
        <f t="shared" ca="1" si="409"/>
        <v>0.81284710335868426</v>
      </c>
      <c r="W920" s="304">
        <f t="shared" ca="1" si="410"/>
        <v>44.658005287538764</v>
      </c>
      <c r="Y920" s="314" t="str">
        <f t="shared" ca="1" si="428"/>
        <v/>
      </c>
      <c r="Z920" s="315" t="str">
        <f t="shared" ca="1" si="429"/>
        <v/>
      </c>
      <c r="AA920" s="316" t="str">
        <f t="shared" ca="1" si="430"/>
        <v/>
      </c>
      <c r="AC920" s="310" t="e">
        <f t="shared" ca="1" si="431"/>
        <v>#N/A</v>
      </c>
      <c r="AD920" s="323" t="e">
        <f t="shared" ca="1" si="432"/>
        <v>#N/A</v>
      </c>
      <c r="AE920" s="324">
        <f t="shared" ca="1" si="411"/>
        <v>4044.9835118839364</v>
      </c>
      <c r="AG920" s="306">
        <f t="shared" ca="1" si="433"/>
        <v>-10.202300458448386</v>
      </c>
      <c r="AH920" s="304">
        <f t="shared" ca="1" si="434"/>
        <v>-3.0242665754572031</v>
      </c>
    </row>
    <row r="921" spans="1:34" x14ac:dyDescent="0.2">
      <c r="A921" s="347">
        <f t="shared" ca="1" si="412"/>
        <v>0.1</v>
      </c>
      <c r="B921" s="304">
        <f t="shared" ca="1" si="413"/>
        <v>19.699999999999896</v>
      </c>
      <c r="D921" s="306">
        <f t="shared" ca="1" si="414"/>
        <v>-2.0322142627701676</v>
      </c>
      <c r="E921" s="307">
        <f t="shared" ca="1" si="415"/>
        <v>-11.96163342920933</v>
      </c>
      <c r="F921" s="304">
        <f t="shared" ca="1" si="416"/>
        <v>12.133036268988265</v>
      </c>
      <c r="G921" s="306">
        <f t="shared" ca="1" si="417"/>
        <v>66.456529963022817</v>
      </c>
      <c r="H921" s="307">
        <f t="shared" ca="1" si="418"/>
        <v>69.380720256198586</v>
      </c>
      <c r="I921" s="304">
        <f t="shared" ca="1" si="419"/>
        <v>96.073694203954886</v>
      </c>
      <c r="J921" s="306">
        <f t="shared" ca="1" si="420"/>
        <v>1877.393160094266</v>
      </c>
      <c r="K921" s="307">
        <f t="shared" ca="1" si="421"/>
        <v>4051.9813920767024</v>
      </c>
      <c r="L921" s="304">
        <f t="shared" ca="1" si="406"/>
        <v>4465.7763355663692</v>
      </c>
      <c r="M921" s="306">
        <f t="shared" ca="1" si="422"/>
        <v>0.80692199950217236</v>
      </c>
      <c r="N921" s="304">
        <f t="shared" ca="1" si="423"/>
        <v>46.233224967731992</v>
      </c>
      <c r="P921" s="310">
        <f t="shared" ca="1" si="424"/>
        <v>23</v>
      </c>
      <c r="Q921" s="304">
        <f t="shared" ca="1" si="425"/>
        <v>0</v>
      </c>
      <c r="R921" s="306">
        <f t="shared" ca="1" si="426"/>
        <v>0</v>
      </c>
      <c r="S921" s="307">
        <f t="shared" ca="1" si="427"/>
        <v>15.089040186296437</v>
      </c>
      <c r="T921" s="304">
        <f t="shared" ca="1" si="407"/>
        <v>148.02348422756805</v>
      </c>
      <c r="U921" s="311">
        <f t="shared" ca="1" si="408"/>
        <v>0</v>
      </c>
      <c r="V921" s="306">
        <f t="shared" ca="1" si="409"/>
        <v>0.81225419545442412</v>
      </c>
      <c r="W921" s="304">
        <f t="shared" ca="1" si="410"/>
        <v>43.704645523034344</v>
      </c>
      <c r="Y921" s="314" t="str">
        <f t="shared" ca="1" si="428"/>
        <v/>
      </c>
      <c r="Z921" s="315" t="str">
        <f t="shared" ca="1" si="429"/>
        <v/>
      </c>
      <c r="AA921" s="316" t="str">
        <f t="shared" ca="1" si="430"/>
        <v/>
      </c>
      <c r="AC921" s="310" t="e">
        <f t="shared" ca="1" si="431"/>
        <v>#N/A</v>
      </c>
      <c r="AD921" s="323" t="e">
        <f t="shared" ca="1" si="432"/>
        <v>#N/A</v>
      </c>
      <c r="AE921" s="324">
        <f t="shared" ca="1" si="411"/>
        <v>4051.9813920767024</v>
      </c>
      <c r="AG921" s="306">
        <f t="shared" ca="1" si="433"/>
        <v>-10.091438991071112</v>
      </c>
      <c r="AH921" s="304">
        <f t="shared" ca="1" si="434"/>
        <v>-2.95963194054558</v>
      </c>
    </row>
    <row r="922" spans="1:34" x14ac:dyDescent="0.2">
      <c r="A922" s="347">
        <f t="shared" ca="1" si="412"/>
        <v>0.1</v>
      </c>
      <c r="B922" s="304">
        <f t="shared" ca="1" si="413"/>
        <v>19.799999999999898</v>
      </c>
      <c r="D922" s="306">
        <f t="shared" ca="1" si="414"/>
        <v>-2.0035452588462959</v>
      </c>
      <c r="E922" s="307">
        <f t="shared" ca="1" si="415"/>
        <v>-11.901704354741261</v>
      </c>
      <c r="F922" s="304">
        <f t="shared" ca="1" si="416"/>
        <v>12.069165677540123</v>
      </c>
      <c r="G922" s="306">
        <f t="shared" ca="1" si="417"/>
        <v>66.256175437138182</v>
      </c>
      <c r="H922" s="307">
        <f t="shared" ca="1" si="418"/>
        <v>68.190549820724456</v>
      </c>
      <c r="I922" s="304">
        <f t="shared" ca="1" si="419"/>
        <v>95.078030419280026</v>
      </c>
      <c r="J922" s="306">
        <f t="shared" ca="1" si="420"/>
        <v>1884.0287953642742</v>
      </c>
      <c r="K922" s="307">
        <f t="shared" ca="1" si="421"/>
        <v>4058.8599555805486</v>
      </c>
      <c r="L922" s="304">
        <f t="shared" ca="1" si="406"/>
        <v>4474.8082239105051</v>
      </c>
      <c r="M922" s="306">
        <f t="shared" ca="1" si="422"/>
        <v>0.79978483530385325</v>
      </c>
      <c r="N922" s="304">
        <f t="shared" ca="1" si="423"/>
        <v>45.824295581476434</v>
      </c>
      <c r="P922" s="310">
        <f t="shared" ca="1" si="424"/>
        <v>23</v>
      </c>
      <c r="Q922" s="304">
        <f t="shared" ca="1" si="425"/>
        <v>0</v>
      </c>
      <c r="R922" s="306">
        <f t="shared" ca="1" si="426"/>
        <v>0</v>
      </c>
      <c r="S922" s="307">
        <f t="shared" ca="1" si="427"/>
        <v>15.089040186296437</v>
      </c>
      <c r="T922" s="304">
        <f t="shared" ca="1" si="407"/>
        <v>148.02348422756805</v>
      </c>
      <c r="U922" s="311">
        <f t="shared" ca="1" si="408"/>
        <v>0</v>
      </c>
      <c r="V922" s="306">
        <f t="shared" ca="1" si="409"/>
        <v>0.81167173301095075</v>
      </c>
      <c r="W922" s="304">
        <f t="shared" ca="1" si="410"/>
        <v>42.772775554025586</v>
      </c>
      <c r="Y922" s="314" t="str">
        <f t="shared" ca="1" si="428"/>
        <v/>
      </c>
      <c r="Z922" s="315" t="str">
        <f t="shared" ca="1" si="429"/>
        <v/>
      </c>
      <c r="AA922" s="316" t="str">
        <f t="shared" ca="1" si="430"/>
        <v/>
      </c>
      <c r="AC922" s="310" t="e">
        <f t="shared" ca="1" si="431"/>
        <v>#N/A</v>
      </c>
      <c r="AD922" s="323" t="e">
        <f t="shared" ca="1" si="432"/>
        <v>#N/A</v>
      </c>
      <c r="AE922" s="324">
        <f t="shared" ca="1" si="411"/>
        <v>4058.8599555805486</v>
      </c>
      <c r="AG922" s="306">
        <f t="shared" ca="1" si="433"/>
        <v>-9.9808536965324883</v>
      </c>
      <c r="AH922" s="304">
        <f t="shared" ca="1" si="434"/>
        <v>-2.8964496736330534</v>
      </c>
    </row>
    <row r="923" spans="1:34" x14ac:dyDescent="0.2">
      <c r="A923" s="347">
        <f t="shared" ca="1" si="412"/>
        <v>0.1</v>
      </c>
      <c r="B923" s="304">
        <f t="shared" ca="1" si="413"/>
        <v>19.899999999999899</v>
      </c>
      <c r="D923" s="306">
        <f t="shared" ca="1" si="414"/>
        <v>-1.9753861487095634</v>
      </c>
      <c r="E923" s="307">
        <f t="shared" ca="1" si="415"/>
        <v>-11.843058302867938</v>
      </c>
      <c r="F923" s="304">
        <f t="shared" ca="1" si="416"/>
        <v>12.006672328403187</v>
      </c>
      <c r="G923" s="306">
        <f t="shared" ca="1" si="417"/>
        <v>66.058636822267232</v>
      </c>
      <c r="H923" s="307">
        <f t="shared" ca="1" si="418"/>
        <v>67.006243990437667</v>
      </c>
      <c r="I923" s="304">
        <f t="shared" ca="1" si="419"/>
        <v>94.093465408190085</v>
      </c>
      <c r="J923" s="306">
        <f t="shared" ca="1" si="420"/>
        <v>1890.6445359772445</v>
      </c>
      <c r="K923" s="307">
        <f t="shared" ca="1" si="421"/>
        <v>4065.6197952711068</v>
      </c>
      <c r="L923" s="304">
        <f t="shared" ca="1" si="406"/>
        <v>4483.7262495742179</v>
      </c>
      <c r="M923" s="306">
        <f t="shared" ca="1" si="422"/>
        <v>0.79251943494420518</v>
      </c>
      <c r="N923" s="304">
        <f t="shared" ca="1" si="423"/>
        <v>45.408018804395773</v>
      </c>
      <c r="P923" s="310">
        <f t="shared" ca="1" si="424"/>
        <v>23</v>
      </c>
      <c r="Q923" s="304">
        <f t="shared" ca="1" si="425"/>
        <v>0</v>
      </c>
      <c r="R923" s="306">
        <f t="shared" ca="1" si="426"/>
        <v>0</v>
      </c>
      <c r="S923" s="307">
        <f t="shared" ca="1" si="427"/>
        <v>15.089040186296437</v>
      </c>
      <c r="T923" s="304">
        <f t="shared" ca="1" si="407"/>
        <v>148.02348422756805</v>
      </c>
      <c r="U923" s="311">
        <f t="shared" ca="1" si="408"/>
        <v>0</v>
      </c>
      <c r="V923" s="306">
        <f t="shared" ca="1" si="409"/>
        <v>0.81109964824710212</v>
      </c>
      <c r="W923" s="304">
        <f t="shared" ca="1" si="410"/>
        <v>41.861983136142179</v>
      </c>
      <c r="Y923" s="314" t="str">
        <f t="shared" ca="1" si="428"/>
        <v/>
      </c>
      <c r="Z923" s="315" t="str">
        <f t="shared" ca="1" si="429"/>
        <v/>
      </c>
      <c r="AA923" s="316" t="str">
        <f t="shared" ca="1" si="430"/>
        <v/>
      </c>
      <c r="AC923" s="310" t="e">
        <f t="shared" ca="1" si="431"/>
        <v>#N/A</v>
      </c>
      <c r="AD923" s="323" t="e">
        <f t="shared" ca="1" si="432"/>
        <v>#N/A</v>
      </c>
      <c r="AE923" s="324">
        <f t="shared" ca="1" si="411"/>
        <v>4065.6197952711068</v>
      </c>
      <c r="AG923" s="306">
        <f t="shared" ca="1" si="433"/>
        <v>-9.8704841099248419</v>
      </c>
      <c r="AH923" s="304">
        <f t="shared" ca="1" si="434"/>
        <v>-2.8346916056907956</v>
      </c>
    </row>
    <row r="924" spans="1:34" x14ac:dyDescent="0.2">
      <c r="A924" s="347">
        <f t="shared" ca="1" si="412"/>
        <v>0.1</v>
      </c>
      <c r="B924" s="304">
        <f t="shared" ca="1" si="413"/>
        <v>19.999999999999901</v>
      </c>
      <c r="D924" s="306">
        <f t="shared" ca="1" si="414"/>
        <v>-1.9477280869221609</v>
      </c>
      <c r="E924" s="307">
        <f t="shared" ca="1" si="415"/>
        <v>-11.78566812906654</v>
      </c>
      <c r="F924" s="304">
        <f t="shared" ca="1" si="416"/>
        <v>11.945527110558171</v>
      </c>
      <c r="G924" s="306">
        <f t="shared" ca="1" si="417"/>
        <v>65.863864013575011</v>
      </c>
      <c r="H924" s="307">
        <f t="shared" ca="1" si="418"/>
        <v>65.827677177531015</v>
      </c>
      <c r="I924" s="304">
        <f t="shared" ca="1" si="419"/>
        <v>93.119985316729611</v>
      </c>
      <c r="J924" s="306">
        <f t="shared" ca="1" si="420"/>
        <v>1897.2406610190367</v>
      </c>
      <c r="K924" s="307">
        <f t="shared" ca="1" si="421"/>
        <v>4072.2614913295051</v>
      </c>
      <c r="L924" s="304">
        <f t="shared" ca="1" si="406"/>
        <v>4492.5311105866767</v>
      </c>
      <c r="M924" s="306">
        <f t="shared" ca="1" si="422"/>
        <v>0.78512337858738446</v>
      </c>
      <c r="N924" s="304">
        <f t="shared" ca="1" si="423"/>
        <v>44.984255990109041</v>
      </c>
      <c r="P924" s="310">
        <f t="shared" ca="1" si="424"/>
        <v>23</v>
      </c>
      <c r="Q924" s="304">
        <f t="shared" ca="1" si="425"/>
        <v>0</v>
      </c>
      <c r="R924" s="306">
        <f t="shared" ca="1" si="426"/>
        <v>0</v>
      </c>
      <c r="S924" s="307">
        <f t="shared" ca="1" si="427"/>
        <v>15.089040186296437</v>
      </c>
      <c r="T924" s="304">
        <f t="shared" ca="1" si="407"/>
        <v>148.02348422756805</v>
      </c>
      <c r="U924" s="311">
        <f t="shared" ca="1" si="408"/>
        <v>0</v>
      </c>
      <c r="V924" s="306">
        <f t="shared" ca="1" si="409"/>
        <v>0.81053787489593043</v>
      </c>
      <c r="W924" s="304">
        <f t="shared" ca="1" si="410"/>
        <v>40.971868402004695</v>
      </c>
      <c r="Y924" s="314" t="str">
        <f t="shared" ca="1" si="428"/>
        <v/>
      </c>
      <c r="Z924" s="315" t="str">
        <f t="shared" ca="1" si="429"/>
        <v/>
      </c>
      <c r="AA924" s="316" t="str">
        <f t="shared" ca="1" si="430"/>
        <v/>
      </c>
      <c r="AC924" s="310">
        <f t="shared" ca="1" si="431"/>
        <v>19.999999999999901</v>
      </c>
      <c r="AD924" s="323">
        <f t="shared" ca="1" si="432"/>
        <v>1897.2406610190367</v>
      </c>
      <c r="AE924" s="324">
        <f t="shared" ca="1" si="411"/>
        <v>4072.2614913295051</v>
      </c>
      <c r="AG924" s="306">
        <f t="shared" ca="1" si="433"/>
        <v>-9.7602698825580774</v>
      </c>
      <c r="AH924" s="304">
        <f t="shared" ca="1" si="434"/>
        <v>-2.7743304159372837</v>
      </c>
    </row>
    <row r="925" spans="1:34" x14ac:dyDescent="0.2">
      <c r="A925" s="347">
        <f t="shared" ca="1" si="412"/>
        <v>0.1</v>
      </c>
      <c r="B925" s="304">
        <f t="shared" ca="1" si="413"/>
        <v>20.099999999999902</v>
      </c>
      <c r="D925" s="306">
        <f t="shared" ca="1" si="414"/>
        <v>-1.9205625710813492</v>
      </c>
      <c r="E925" s="307">
        <f t="shared" ca="1" si="415"/>
        <v>-11.729507378163156</v>
      </c>
      <c r="F925" s="304">
        <f t="shared" ca="1" si="416"/>
        <v>11.885701658876624</v>
      </c>
      <c r="G925" s="306">
        <f t="shared" ca="1" si="417"/>
        <v>65.671807756466876</v>
      </c>
      <c r="H925" s="307">
        <f t="shared" ca="1" si="418"/>
        <v>64.654726439714693</v>
      </c>
      <c r="I925" s="304">
        <f t="shared" ca="1" si="419"/>
        <v>92.157582352168319</v>
      </c>
      <c r="J925" s="306">
        <f t="shared" ca="1" si="420"/>
        <v>1903.8174446075388</v>
      </c>
      <c r="K925" s="307">
        <f t="shared" ca="1" si="421"/>
        <v>4078.7856115103673</v>
      </c>
      <c r="L925" s="304">
        <f t="shared" ca="1" si="406"/>
        <v>4501.2234922358584</v>
      </c>
      <c r="M925" s="306">
        <f t="shared" ca="1" si="422"/>
        <v>0.77759422173905768</v>
      </c>
      <c r="N925" s="304">
        <f t="shared" ca="1" si="423"/>
        <v>44.552867079407896</v>
      </c>
      <c r="P925" s="310">
        <f t="shared" ca="1" si="424"/>
        <v>23</v>
      </c>
      <c r="Q925" s="304">
        <f t="shared" ca="1" si="425"/>
        <v>0</v>
      </c>
      <c r="R925" s="306">
        <f t="shared" ca="1" si="426"/>
        <v>0</v>
      </c>
      <c r="S925" s="307">
        <f t="shared" ca="1" si="427"/>
        <v>15.089040186296437</v>
      </c>
      <c r="T925" s="304">
        <f t="shared" ca="1" si="407"/>
        <v>148.02348422756805</v>
      </c>
      <c r="U925" s="311">
        <f t="shared" ca="1" si="408"/>
        <v>0</v>
      </c>
      <c r="V925" s="306">
        <f t="shared" ca="1" si="409"/>
        <v>0.80998634817266535</v>
      </c>
      <c r="W925" s="304">
        <f t="shared" ca="1" si="410"/>
        <v>40.102043455473542</v>
      </c>
      <c r="Y925" s="314" t="str">
        <f t="shared" ca="1" si="428"/>
        <v/>
      </c>
      <c r="Z925" s="315" t="str">
        <f t="shared" ca="1" si="429"/>
        <v/>
      </c>
      <c r="AA925" s="316" t="str">
        <f t="shared" ca="1" si="430"/>
        <v/>
      </c>
      <c r="AC925" s="310" t="e">
        <f t="shared" ca="1" si="431"/>
        <v>#N/A</v>
      </c>
      <c r="AD925" s="323" t="e">
        <f t="shared" ca="1" si="432"/>
        <v>#N/A</v>
      </c>
      <c r="AE925" s="324">
        <f t="shared" ca="1" si="411"/>
        <v>4078.7856115103673</v>
      </c>
      <c r="AG925" s="306">
        <f t="shared" ca="1" si="433"/>
        <v>-9.6501507608272057</v>
      </c>
      <c r="AH925" s="304">
        <f t="shared" ca="1" si="434"/>
        <v>-2.7153396038546256</v>
      </c>
    </row>
    <row r="926" spans="1:34" x14ac:dyDescent="0.2">
      <c r="A926" s="347">
        <f t="shared" ca="1" si="412"/>
        <v>0.1</v>
      </c>
      <c r="B926" s="304">
        <f t="shared" ca="1" si="413"/>
        <v>20.199999999999903</v>
      </c>
      <c r="D926" s="306">
        <f t="shared" ca="1" si="414"/>
        <v>-1.8938814330512221</v>
      </c>
      <c r="E926" s="307">
        <f t="shared" ca="1" si="415"/>
        <v>-11.674550255982924</v>
      </c>
      <c r="F926" s="304">
        <f t="shared" ca="1" si="416"/>
        <v>11.827168323902686</v>
      </c>
      <c r="G926" s="306">
        <f t="shared" ca="1" si="417"/>
        <v>65.482419613161753</v>
      </c>
      <c r="H926" s="307">
        <f t="shared" ca="1" si="418"/>
        <v>63.4872714141164</v>
      </c>
      <c r="I926" s="304">
        <f t="shared" ca="1" si="419"/>
        <v>91.206254774570539</v>
      </c>
      <c r="J926" s="306">
        <f t="shared" ca="1" si="420"/>
        <v>1910.3751559760203</v>
      </c>
      <c r="K926" s="307">
        <f t="shared" ca="1" si="421"/>
        <v>4085.1927114030586</v>
      </c>
      <c r="L926" s="304">
        <f t="shared" ca="1" si="406"/>
        <v>4509.8040673482792</v>
      </c>
      <c r="M926" s="306">
        <f t="shared" ca="1" si="422"/>
        <v>0.76992949748187467</v>
      </c>
      <c r="N926" s="304">
        <f t="shared" ca="1" si="423"/>
        <v>44.113710728339761</v>
      </c>
      <c r="P926" s="310">
        <f t="shared" ca="1" si="424"/>
        <v>23</v>
      </c>
      <c r="Q926" s="304">
        <f t="shared" ca="1" si="425"/>
        <v>0</v>
      </c>
      <c r="R926" s="306">
        <f t="shared" ca="1" si="426"/>
        <v>0</v>
      </c>
      <c r="S926" s="307">
        <f t="shared" ca="1" si="427"/>
        <v>15.089040186296437</v>
      </c>
      <c r="T926" s="304">
        <f t="shared" ca="1" si="407"/>
        <v>148.02348422756805</v>
      </c>
      <c r="U926" s="311">
        <f t="shared" ca="1" si="408"/>
        <v>0</v>
      </c>
      <c r="V926" s="306">
        <f t="shared" ca="1" si="409"/>
        <v>0.80944500474356207</v>
      </c>
      <c r="W926" s="304">
        <f t="shared" ca="1" si="410"/>
        <v>39.252131981638591</v>
      </c>
      <c r="Y926" s="314" t="str">
        <f t="shared" ca="1" si="428"/>
        <v/>
      </c>
      <c r="Z926" s="315" t="str">
        <f t="shared" ca="1" si="429"/>
        <v/>
      </c>
      <c r="AA926" s="316" t="str">
        <f t="shared" ca="1" si="430"/>
        <v/>
      </c>
      <c r="AC926" s="310" t="e">
        <f t="shared" ca="1" si="431"/>
        <v>#N/A</v>
      </c>
      <c r="AD926" s="323" t="e">
        <f t="shared" ca="1" si="432"/>
        <v>#N/A</v>
      </c>
      <c r="AE926" s="324">
        <f t="shared" ca="1" si="411"/>
        <v>4085.1927114030586</v>
      </c>
      <c r="AG926" s="306">
        <f t="shared" ca="1" si="433"/>
        <v>-9.5400665691559663</v>
      </c>
      <c r="AH926" s="304">
        <f t="shared" ca="1" si="434"/>
        <v>-2.6576934622981132</v>
      </c>
    </row>
    <row r="927" spans="1:34" x14ac:dyDescent="0.2">
      <c r="A927" s="347">
        <f t="shared" ca="1" si="412"/>
        <v>0.1</v>
      </c>
      <c r="B927" s="304">
        <f t="shared" ca="1" si="413"/>
        <v>20.299999999999905</v>
      </c>
      <c r="D927" s="306">
        <f t="shared" ca="1" si="414"/>
        <v>-1.8676768305524636</v>
      </c>
      <c r="E927" s="307">
        <f t="shared" ca="1" si="415"/>
        <v>-11.620771601837816</v>
      </c>
      <c r="F927" s="304">
        <f t="shared" ca="1" si="416"/>
        <v>11.769900142544232</v>
      </c>
      <c r="G927" s="306">
        <f t="shared" ca="1" si="417"/>
        <v>65.295651930106501</v>
      </c>
      <c r="H927" s="307">
        <f t="shared" ca="1" si="418"/>
        <v>62.325194253932615</v>
      </c>
      <c r="I927" s="304">
        <f t="shared" ca="1" si="419"/>
        <v>90.266006889460087</v>
      </c>
      <c r="J927" s="306">
        <f t="shared" ca="1" si="420"/>
        <v>1916.9140595531837</v>
      </c>
      <c r="K927" s="307">
        <f t="shared" ca="1" si="421"/>
        <v>4091.4833346864611</v>
      </c>
      <c r="L927" s="304">
        <f t="shared" ca="1" si="406"/>
        <v>4518.2734965614582</v>
      </c>
      <c r="M927" s="306">
        <f t="shared" ca="1" si="422"/>
        <v>0.76212671897068196</v>
      </c>
      <c r="N927" s="304">
        <f t="shared" ca="1" si="423"/>
        <v>43.666644451173049</v>
      </c>
      <c r="P927" s="310">
        <f t="shared" ca="1" si="424"/>
        <v>23</v>
      </c>
      <c r="Q927" s="304">
        <f t="shared" ca="1" si="425"/>
        <v>0</v>
      </c>
      <c r="R927" s="306">
        <f t="shared" ca="1" si="426"/>
        <v>0</v>
      </c>
      <c r="S927" s="307">
        <f t="shared" ca="1" si="427"/>
        <v>15.089040186296437</v>
      </c>
      <c r="T927" s="304">
        <f t="shared" ca="1" si="407"/>
        <v>148.02348422756805</v>
      </c>
      <c r="U927" s="311">
        <f t="shared" ca="1" si="408"/>
        <v>0</v>
      </c>
      <c r="V927" s="306">
        <f t="shared" ca="1" si="409"/>
        <v>0.80891378269559389</v>
      </c>
      <c r="W927" s="304">
        <f t="shared" ca="1" si="410"/>
        <v>38.421768871831979</v>
      </c>
      <c r="Y927" s="314" t="str">
        <f t="shared" ca="1" si="428"/>
        <v/>
      </c>
      <c r="Z927" s="315" t="str">
        <f t="shared" ca="1" si="429"/>
        <v/>
      </c>
      <c r="AA927" s="316" t="str">
        <f t="shared" ca="1" si="430"/>
        <v/>
      </c>
      <c r="AC927" s="310" t="e">
        <f t="shared" ca="1" si="431"/>
        <v>#N/A</v>
      </c>
      <c r="AD927" s="323" t="e">
        <f t="shared" ca="1" si="432"/>
        <v>#N/A</v>
      </c>
      <c r="AE927" s="324">
        <f t="shared" ca="1" si="411"/>
        <v>4091.4833346864611</v>
      </c>
      <c r="AG927" s="306">
        <f t="shared" ca="1" si="433"/>
        <v>-9.4299571972683243</v>
      </c>
      <c r="AH927" s="304">
        <f t="shared" ca="1" si="434"/>
        <v>-2.6013670516489569</v>
      </c>
    </row>
    <row r="928" spans="1:34" x14ac:dyDescent="0.2">
      <c r="A928" s="347">
        <f t="shared" ca="1" si="412"/>
        <v>0.1</v>
      </c>
      <c r="B928" s="304">
        <f t="shared" ca="1" si="413"/>
        <v>20.399999999999906</v>
      </c>
      <c r="D928" s="306">
        <f t="shared" ca="1" si="414"/>
        <v>-1.8419412390869228</v>
      </c>
      <c r="E928" s="307">
        <f t="shared" ca="1" si="415"/>
        <v>-11.5681468618049</v>
      </c>
      <c r="F928" s="304">
        <f t="shared" ca="1" si="416"/>
        <v>11.713870809622907</v>
      </c>
      <c r="G928" s="306">
        <f t="shared" ca="1" si="417"/>
        <v>65.111457806197805</v>
      </c>
      <c r="H928" s="307">
        <f t="shared" ca="1" si="418"/>
        <v>61.168379567752126</v>
      </c>
      <c r="I928" s="304">
        <f t="shared" ca="1" si="419"/>
        <v>89.336849041103264</v>
      </c>
      <c r="J928" s="306">
        <f t="shared" ca="1" si="420"/>
        <v>1923.4344150399988</v>
      </c>
      <c r="K928" s="307">
        <f t="shared" ca="1" si="421"/>
        <v>4097.6580133775451</v>
      </c>
      <c r="L928" s="304">
        <f t="shared" ca="1" si="406"/>
        <v>4526.6324285894334</v>
      </c>
      <c r="M928" s="306">
        <f t="shared" ca="1" si="422"/>
        <v>0.75418338220504078</v>
      </c>
      <c r="N928" s="304">
        <f t="shared" ca="1" si="423"/>
        <v>43.211524779250709</v>
      </c>
      <c r="P928" s="310">
        <f t="shared" ca="1" si="424"/>
        <v>23</v>
      </c>
      <c r="Q928" s="304">
        <f t="shared" ca="1" si="425"/>
        <v>0</v>
      </c>
      <c r="R928" s="306">
        <f t="shared" ca="1" si="426"/>
        <v>0</v>
      </c>
      <c r="S928" s="307">
        <f t="shared" ca="1" si="427"/>
        <v>15.089040186296437</v>
      </c>
      <c r="T928" s="304">
        <f t="shared" ca="1" si="407"/>
        <v>148.02348422756805</v>
      </c>
      <c r="U928" s="311">
        <f t="shared" ca="1" si="408"/>
        <v>0</v>
      </c>
      <c r="V928" s="306">
        <f t="shared" ca="1" si="409"/>
        <v>0.80839262150696123</v>
      </c>
      <c r="W928" s="304">
        <f t="shared" ca="1" si="410"/>
        <v>37.61059986298099</v>
      </c>
      <c r="Y928" s="314" t="str">
        <f t="shared" ca="1" si="428"/>
        <v/>
      </c>
      <c r="Z928" s="315" t="str">
        <f t="shared" ca="1" si="429"/>
        <v/>
      </c>
      <c r="AA928" s="316" t="str">
        <f t="shared" ca="1" si="430"/>
        <v/>
      </c>
      <c r="AC928" s="310" t="e">
        <f t="shared" ca="1" si="431"/>
        <v>#N/A</v>
      </c>
      <c r="AD928" s="323" t="e">
        <f t="shared" ca="1" si="432"/>
        <v>#N/A</v>
      </c>
      <c r="AE928" s="324">
        <f t="shared" ca="1" si="411"/>
        <v>4097.6580133775451</v>
      </c>
      <c r="AG928" s="306">
        <f t="shared" ca="1" si="433"/>
        <v>-9.319762592061327</v>
      </c>
      <c r="AH928" s="304">
        <f t="shared" ca="1" si="434"/>
        <v>-2.5463361749626632</v>
      </c>
    </row>
    <row r="929" spans="1:34" x14ac:dyDescent="0.2">
      <c r="A929" s="347">
        <f t="shared" ca="1" si="412"/>
        <v>0.1</v>
      </c>
      <c r="B929" s="304">
        <f t="shared" ca="1" si="413"/>
        <v>20.499999999999908</v>
      </c>
      <c r="D929" s="306">
        <f t="shared" ca="1" si="414"/>
        <v>-1.8166674441740907</v>
      </c>
      <c r="E929" s="307">
        <f t="shared" ca="1" si="415"/>
        <v>-11.516652062750182</v>
      </c>
      <c r="F929" s="304">
        <f t="shared" ca="1" si="416"/>
        <v>11.659054650235158</v>
      </c>
      <c r="G929" s="306">
        <f t="shared" ca="1" si="417"/>
        <v>64.929791061780392</v>
      </c>
      <c r="H929" s="307">
        <f t="shared" ca="1" si="418"/>
        <v>60.016714361477106</v>
      </c>
      <c r="I929" s="304">
        <f t="shared" ca="1" si="419"/>
        <v>88.418797605902725</v>
      </c>
      <c r="J929" s="306">
        <f t="shared" ca="1" si="420"/>
        <v>1929.9364774833978</v>
      </c>
      <c r="K929" s="307">
        <f t="shared" ca="1" si="421"/>
        <v>4103.7172680740068</v>
      </c>
      <c r="L929" s="304">
        <f t="shared" ca="1" si="406"/>
        <v>4534.8815004815524</v>
      </c>
      <c r="M929" s="306">
        <f t="shared" ca="1" si="422"/>
        <v>0.74609696909718959</v>
      </c>
      <c r="N929" s="304">
        <f t="shared" ca="1" si="423"/>
        <v>42.748207436771573</v>
      </c>
      <c r="P929" s="310">
        <f t="shared" ca="1" si="424"/>
        <v>23</v>
      </c>
      <c r="Q929" s="304">
        <f t="shared" ca="1" si="425"/>
        <v>0</v>
      </c>
      <c r="R929" s="306">
        <f t="shared" ca="1" si="426"/>
        <v>0</v>
      </c>
      <c r="S929" s="307">
        <f t="shared" ca="1" si="427"/>
        <v>15.089040186296437</v>
      </c>
      <c r="T929" s="304">
        <f t="shared" ca="1" si="407"/>
        <v>148.02348422756805</v>
      </c>
      <c r="U929" s="311">
        <f t="shared" ca="1" si="408"/>
        <v>0</v>
      </c>
      <c r="V929" s="306">
        <f t="shared" ca="1" si="409"/>
        <v>0.80788146201838162</v>
      </c>
      <c r="W929" s="304">
        <f t="shared" ca="1" si="410"/>
        <v>36.818281190651184</v>
      </c>
      <c r="Y929" s="314" t="str">
        <f t="shared" ca="1" si="428"/>
        <v/>
      </c>
      <c r="Z929" s="315" t="str">
        <f t="shared" ca="1" si="429"/>
        <v/>
      </c>
      <c r="AA929" s="316" t="str">
        <f t="shared" ca="1" si="430"/>
        <v/>
      </c>
      <c r="AC929" s="310" t="e">
        <f t="shared" ca="1" si="431"/>
        <v>#N/A</v>
      </c>
      <c r="AD929" s="323" t="e">
        <f t="shared" ca="1" si="432"/>
        <v>#N/A</v>
      </c>
      <c r="AE929" s="324">
        <f t="shared" ca="1" si="411"/>
        <v>4103.7172680740068</v>
      </c>
      <c r="AG929" s="306">
        <f t="shared" ca="1" si="433"/>
        <v>-9.2094227543746889</v>
      </c>
      <c r="AH929" s="304">
        <f t="shared" ca="1" si="434"/>
        <v>-2.4925773540677678</v>
      </c>
    </row>
    <row r="930" spans="1:34" x14ac:dyDescent="0.2">
      <c r="A930" s="347">
        <f t="shared" ca="1" si="412"/>
        <v>0.1</v>
      </c>
      <c r="B930" s="304">
        <f t="shared" ca="1" si="413"/>
        <v>20.599999999999909</v>
      </c>
      <c r="D930" s="306">
        <f t="shared" ca="1" si="414"/>
        <v>-1.791848533876824</v>
      </c>
      <c r="E930" s="307">
        <f t="shared" ca="1" si="415"/>
        <v>-11.466263787055656</v>
      </c>
      <c r="F930" s="304">
        <f t="shared" ca="1" si="416"/>
        <v>11.605426592878887</v>
      </c>
      <c r="G930" s="306">
        <f t="shared" ca="1" si="417"/>
        <v>64.750606208392711</v>
      </c>
      <c r="H930" s="307">
        <f t="shared" ca="1" si="418"/>
        <v>58.870087982771544</v>
      </c>
      <c r="I930" s="304">
        <f t="shared" ca="1" si="419"/>
        <v>87.511874985361885</v>
      </c>
      <c r="J930" s="306">
        <f t="shared" ca="1" si="420"/>
        <v>1936.4204973469064</v>
      </c>
      <c r="K930" s="307">
        <f t="shared" ca="1" si="421"/>
        <v>4109.6616081912189</v>
      </c>
      <c r="L930" s="304">
        <f t="shared" ca="1" si="406"/>
        <v>4543.0213378748376</v>
      </c>
      <c r="M930" s="306">
        <f t="shared" ca="1" si="422"/>
        <v>0.73786495085410175</v>
      </c>
      <c r="N930" s="304">
        <f t="shared" ca="1" si="423"/>
        <v>42.276547534567939</v>
      </c>
      <c r="P930" s="310">
        <f t="shared" ca="1" si="424"/>
        <v>23</v>
      </c>
      <c r="Q930" s="304">
        <f t="shared" ca="1" si="425"/>
        <v>0</v>
      </c>
      <c r="R930" s="306">
        <f t="shared" ca="1" si="426"/>
        <v>0</v>
      </c>
      <c r="S930" s="307">
        <f t="shared" ca="1" si="427"/>
        <v>15.089040186296437</v>
      </c>
      <c r="T930" s="304">
        <f t="shared" ca="1" si="407"/>
        <v>148.02348422756805</v>
      </c>
      <c r="U930" s="311">
        <f t="shared" ca="1" si="408"/>
        <v>0</v>
      </c>
      <c r="V930" s="306">
        <f t="shared" ca="1" si="409"/>
        <v>0.8073802464051314</v>
      </c>
      <c r="W930" s="304">
        <f t="shared" ca="1" si="410"/>
        <v>36.044479255160539</v>
      </c>
      <c r="Y930" s="314" t="str">
        <f t="shared" ca="1" si="428"/>
        <v/>
      </c>
      <c r="Z930" s="315" t="str">
        <f t="shared" ca="1" si="429"/>
        <v/>
      </c>
      <c r="AA930" s="316" t="str">
        <f t="shared" ca="1" si="430"/>
        <v/>
      </c>
      <c r="AC930" s="310" t="e">
        <f t="shared" ca="1" si="431"/>
        <v>#N/A</v>
      </c>
      <c r="AD930" s="323" t="e">
        <f t="shared" ca="1" si="432"/>
        <v>#N/A</v>
      </c>
      <c r="AE930" s="324">
        <f t="shared" ca="1" si="411"/>
        <v>4109.6616081912189</v>
      </c>
      <c r="AG930" s="306">
        <f t="shared" ca="1" si="433"/>
        <v>-9.0988777409741637</v>
      </c>
      <c r="AH930" s="304">
        <f t="shared" ca="1" si="434"/>
        <v>-2.4400678065718724</v>
      </c>
    </row>
    <row r="931" spans="1:34" x14ac:dyDescent="0.2">
      <c r="A931" s="347">
        <f t="shared" ca="1" si="412"/>
        <v>0.1</v>
      </c>
      <c r="B931" s="304">
        <f t="shared" ca="1" si="413"/>
        <v>20.69999999999991</v>
      </c>
      <c r="D931" s="306">
        <f t="shared" ca="1" si="414"/>
        <v>-1.7674778915937663</v>
      </c>
      <c r="E931" s="307">
        <f t="shared" ca="1" si="415"/>
        <v>-11.416959148009365</v>
      </c>
      <c r="F931" s="304">
        <f t="shared" ca="1" si="416"/>
        <v>11.552962143302794</v>
      </c>
      <c r="G931" s="306">
        <f t="shared" ca="1" si="417"/>
        <v>64.573858419233332</v>
      </c>
      <c r="H931" s="307">
        <f t="shared" ca="1" si="418"/>
        <v>57.72839206797061</v>
      </c>
      <c r="I931" s="304">
        <f t="shared" ca="1" si="419"/>
        <v>86.616109598044886</v>
      </c>
      <c r="J931" s="306">
        <f t="shared" ca="1" si="420"/>
        <v>1942.8867205782876</v>
      </c>
      <c r="K931" s="307">
        <f t="shared" ca="1" si="421"/>
        <v>4115.491532193756</v>
      </c>
      <c r="L931" s="304">
        <f t="shared" ca="1" si="406"/>
        <v>4551.0525552401568</v>
      </c>
      <c r="M931" s="306">
        <f t="shared" ca="1" si="422"/>
        <v>0.7294847916927284</v>
      </c>
      <c r="N931" s="304">
        <f t="shared" ca="1" si="423"/>
        <v>41.796399782973353</v>
      </c>
      <c r="P931" s="310">
        <f t="shared" ca="1" si="424"/>
        <v>23</v>
      </c>
      <c r="Q931" s="304">
        <f t="shared" ca="1" si="425"/>
        <v>0</v>
      </c>
      <c r="R931" s="306">
        <f t="shared" ca="1" si="426"/>
        <v>0</v>
      </c>
      <c r="S931" s="307">
        <f t="shared" ca="1" si="427"/>
        <v>15.089040186296437</v>
      </c>
      <c r="T931" s="304">
        <f t="shared" ca="1" si="407"/>
        <v>148.02348422756805</v>
      </c>
      <c r="U931" s="311">
        <f t="shared" ca="1" si="408"/>
        <v>0</v>
      </c>
      <c r="V931" s="306">
        <f t="shared" ca="1" si="409"/>
        <v>0.80688891814980701</v>
      </c>
      <c r="W931" s="304">
        <f t="shared" ca="1" si="410"/>
        <v>35.288870300175034</v>
      </c>
      <c r="Y931" s="314" t="str">
        <f t="shared" ca="1" si="428"/>
        <v/>
      </c>
      <c r="Z931" s="315" t="str">
        <f t="shared" ca="1" si="429"/>
        <v/>
      </c>
      <c r="AA931" s="316" t="str">
        <f t="shared" ca="1" si="430"/>
        <v/>
      </c>
      <c r="AC931" s="310" t="e">
        <f t="shared" ca="1" si="431"/>
        <v>#N/A</v>
      </c>
      <c r="AD931" s="323" t="e">
        <f t="shared" ca="1" si="432"/>
        <v>#N/A</v>
      </c>
      <c r="AE931" s="324">
        <f t="shared" ca="1" si="411"/>
        <v>4115.491532193756</v>
      </c>
      <c r="AG931" s="306">
        <f t="shared" ca="1" si="433"/>
        <v>-8.9880676720869737</v>
      </c>
      <c r="AH931" s="304">
        <f t="shared" ca="1" si="434"/>
        <v>-2.3887854237339372</v>
      </c>
    </row>
    <row r="932" spans="1:34" x14ac:dyDescent="0.2">
      <c r="A932" s="347">
        <f t="shared" ca="1" si="412"/>
        <v>0.1</v>
      </c>
      <c r="B932" s="304">
        <f t="shared" ca="1" si="413"/>
        <v>20.799999999999912</v>
      </c>
      <c r="D932" s="306">
        <f t="shared" ca="1" si="414"/>
        <v>-1.7435491890960164</v>
      </c>
      <c r="E932" s="307">
        <f t="shared" ca="1" si="415"/>
        <v>-11.368715765820612</v>
      </c>
      <c r="F932" s="304">
        <f t="shared" ca="1" si="416"/>
        <v>11.501637359037865</v>
      </c>
      <c r="G932" s="306">
        <f t="shared" ca="1" si="417"/>
        <v>64.399503500323732</v>
      </c>
      <c r="H932" s="307">
        <f t="shared" ca="1" si="418"/>
        <v>56.59152049138855</v>
      </c>
      <c r="I932" s="304">
        <f t="shared" ca="1" si="419"/>
        <v>85.731535869920464</v>
      </c>
      <c r="J932" s="306">
        <f t="shared" ca="1" si="420"/>
        <v>1949.3353886742655</v>
      </c>
      <c r="K932" s="307">
        <f t="shared" ca="1" si="421"/>
        <v>4121.2075278217244</v>
      </c>
      <c r="L932" s="304">
        <f t="shared" ca="1" si="406"/>
        <v>4558.9757561224542</v>
      </c>
      <c r="M932" s="306">
        <f t="shared" ca="1" si="422"/>
        <v>0.72095395290785291</v>
      </c>
      <c r="N932" s="304">
        <f t="shared" ca="1" si="423"/>
        <v>41.30761872489348</v>
      </c>
      <c r="P932" s="310">
        <f t="shared" ca="1" si="424"/>
        <v>23</v>
      </c>
      <c r="Q932" s="304">
        <f t="shared" ca="1" si="425"/>
        <v>0</v>
      </c>
      <c r="R932" s="306">
        <f t="shared" ca="1" si="426"/>
        <v>0</v>
      </c>
      <c r="S932" s="307">
        <f t="shared" ca="1" si="427"/>
        <v>15.089040186296437</v>
      </c>
      <c r="T932" s="304">
        <f t="shared" ca="1" si="407"/>
        <v>148.02348422756805</v>
      </c>
      <c r="U932" s="311">
        <f t="shared" ca="1" si="408"/>
        <v>0</v>
      </c>
      <c r="V932" s="306">
        <f t="shared" ca="1" si="409"/>
        <v>0.80640742201578208</v>
      </c>
      <c r="W932" s="304">
        <f t="shared" ca="1" si="410"/>
        <v>34.551140103223695</v>
      </c>
      <c r="Y932" s="314" t="str">
        <f t="shared" ca="1" si="428"/>
        <v/>
      </c>
      <c r="Z932" s="315" t="str">
        <f t="shared" ca="1" si="429"/>
        <v/>
      </c>
      <c r="AA932" s="316" t="str">
        <f t="shared" ca="1" si="430"/>
        <v/>
      </c>
      <c r="AC932" s="310" t="e">
        <f t="shared" ca="1" si="431"/>
        <v>#N/A</v>
      </c>
      <c r="AD932" s="323" t="e">
        <f t="shared" ca="1" si="432"/>
        <v>#N/A</v>
      </c>
      <c r="AE932" s="324">
        <f t="shared" ca="1" si="411"/>
        <v>4121.2075278217244</v>
      </c>
      <c r="AG932" s="306">
        <f t="shared" ca="1" si="433"/>
        <v>-8.8769327448484443</v>
      </c>
      <c r="AH932" s="304">
        <f t="shared" ca="1" si="434"/>
        <v>-2.338708749163759</v>
      </c>
    </row>
    <row r="933" spans="1:34" x14ac:dyDescent="0.2">
      <c r="A933" s="347">
        <f t="shared" ca="1" si="412"/>
        <v>0.1</v>
      </c>
      <c r="B933" s="304">
        <f t="shared" ca="1" si="413"/>
        <v>20.899999999999913</v>
      </c>
      <c r="D933" s="306">
        <f t="shared" ca="1" si="414"/>
        <v>-1.7200563797856063</v>
      </c>
      <c r="E933" s="307">
        <f t="shared" ca="1" si="415"/>
        <v>-11.321511744224727</v>
      </c>
      <c r="F933" s="304">
        <f t="shared" ca="1" si="416"/>
        <v>11.451428824572924</v>
      </c>
      <c r="G933" s="306">
        <f t="shared" ca="1" si="417"/>
        <v>64.227497862345174</v>
      </c>
      <c r="H933" s="307">
        <f t="shared" ca="1" si="418"/>
        <v>55.459369316966075</v>
      </c>
      <c r="I933" s="304">
        <f t="shared" ca="1" si="419"/>
        <v>84.858194222439081</v>
      </c>
      <c r="J933" s="306">
        <f t="shared" ca="1" si="420"/>
        <v>1955.766738742399</v>
      </c>
      <c r="K933" s="307">
        <f t="shared" ca="1" si="421"/>
        <v>4126.8100723121424</v>
      </c>
      <c r="L933" s="304">
        <f t="shared" ca="1" si="406"/>
        <v>4566.7915333752671</v>
      </c>
      <c r="M933" s="306">
        <f t="shared" ca="1" si="422"/>
        <v>0.71226989731220891</v>
      </c>
      <c r="N933" s="304">
        <f t="shared" ca="1" si="423"/>
        <v>40.810058990206109</v>
      </c>
      <c r="P933" s="310">
        <f t="shared" ca="1" si="424"/>
        <v>23</v>
      </c>
      <c r="Q933" s="304">
        <f t="shared" ca="1" si="425"/>
        <v>0</v>
      </c>
      <c r="R933" s="306">
        <f t="shared" ca="1" si="426"/>
        <v>0</v>
      </c>
      <c r="S933" s="307">
        <f t="shared" ca="1" si="427"/>
        <v>15.089040186296437</v>
      </c>
      <c r="T933" s="304">
        <f t="shared" ca="1" si="407"/>
        <v>148.02348422756805</v>
      </c>
      <c r="U933" s="311">
        <f t="shared" ca="1" si="408"/>
        <v>0</v>
      </c>
      <c r="V933" s="306">
        <f t="shared" ca="1" si="409"/>
        <v>0.80593570402132275</v>
      </c>
      <c r="W933" s="304">
        <f t="shared" ca="1" si="410"/>
        <v>33.830983677596855</v>
      </c>
      <c r="Y933" s="314" t="str">
        <f t="shared" ca="1" si="428"/>
        <v/>
      </c>
      <c r="Z933" s="315" t="str">
        <f t="shared" ca="1" si="429"/>
        <v/>
      </c>
      <c r="AA933" s="316" t="str">
        <f t="shared" ca="1" si="430"/>
        <v/>
      </c>
      <c r="AC933" s="310" t="e">
        <f t="shared" ca="1" si="431"/>
        <v>#N/A</v>
      </c>
      <c r="AD933" s="323" t="e">
        <f t="shared" ca="1" si="432"/>
        <v>#N/A</v>
      </c>
      <c r="AE933" s="324">
        <f t="shared" ca="1" si="411"/>
        <v>4126.8100723121424</v>
      </c>
      <c r="AG933" s="306">
        <f t="shared" ca="1" si="433"/>
        <v>-8.7654132530385098</v>
      </c>
      <c r="AH933" s="304">
        <f t="shared" ca="1" si="434"/>
        <v>-2.2898169583113939</v>
      </c>
    </row>
    <row r="934" spans="1:34" x14ac:dyDescent="0.2">
      <c r="A934" s="347">
        <f t="shared" ca="1" si="412"/>
        <v>0.1</v>
      </c>
      <c r="B934" s="304">
        <f t="shared" ca="1" si="413"/>
        <v>20.999999999999915</v>
      </c>
      <c r="D934" s="306">
        <f t="shared" ca="1" si="414"/>
        <v>-1.6969936921532589</v>
      </c>
      <c r="E934" s="307">
        <f t="shared" ca="1" si="415"/>
        <v>-11.275325647643921</v>
      </c>
      <c r="F934" s="304">
        <f t="shared" ca="1" si="416"/>
        <v>11.402313627138343</v>
      </c>
      <c r="G934" s="306">
        <f t="shared" ca="1" si="417"/>
        <v>64.057798493129852</v>
      </c>
      <c r="H934" s="307">
        <f t="shared" ca="1" si="418"/>
        <v>54.331836752201681</v>
      </c>
      <c r="I934" s="304">
        <f t="shared" ca="1" si="419"/>
        <v>83.99613105765242</v>
      </c>
      <c r="J934" s="306">
        <f t="shared" ca="1" si="420"/>
        <v>1962.1810035601727</v>
      </c>
      <c r="K934" s="307">
        <f t="shared" ca="1" si="421"/>
        <v>4132.2996326156008</v>
      </c>
      <c r="L934" s="304">
        <f t="shared" ca="1" si="406"/>
        <v>4574.5004693897927</v>
      </c>
      <c r="M934" s="306">
        <f t="shared" ca="1" si="422"/>
        <v>0.70343009406859947</v>
      </c>
      <c r="N934" s="304">
        <f t="shared" ca="1" si="423"/>
        <v>40.303575572621234</v>
      </c>
      <c r="P934" s="310">
        <f t="shared" ca="1" si="424"/>
        <v>23</v>
      </c>
      <c r="Q934" s="304">
        <f t="shared" ca="1" si="425"/>
        <v>0</v>
      </c>
      <c r="R934" s="306">
        <f t="shared" ca="1" si="426"/>
        <v>0</v>
      </c>
      <c r="S934" s="307">
        <f t="shared" ca="1" si="427"/>
        <v>15.089040186296437</v>
      </c>
      <c r="T934" s="304">
        <f t="shared" ca="1" si="407"/>
        <v>148.02348422756805</v>
      </c>
      <c r="U934" s="311">
        <f t="shared" ca="1" si="408"/>
        <v>0</v>
      </c>
      <c r="V934" s="306">
        <f t="shared" ca="1" si="409"/>
        <v>0.80547371141434376</v>
      </c>
      <c r="W934" s="304">
        <f t="shared" ca="1" si="410"/>
        <v>33.128104985116828</v>
      </c>
      <c r="Y934" s="314" t="str">
        <f t="shared" ca="1" si="428"/>
        <v/>
      </c>
      <c r="Z934" s="315" t="str">
        <f t="shared" ca="1" si="429"/>
        <v/>
      </c>
      <c r="AA934" s="316" t="str">
        <f t="shared" ca="1" si="430"/>
        <v/>
      </c>
      <c r="AC934" s="310">
        <f t="shared" ca="1" si="431"/>
        <v>20.999999999999915</v>
      </c>
      <c r="AD934" s="323">
        <f t="shared" ca="1" si="432"/>
        <v>1962.1810035601727</v>
      </c>
      <c r="AE934" s="324">
        <f t="shared" ca="1" si="411"/>
        <v>4132.2996326156008</v>
      </c>
      <c r="AG934" s="306">
        <f t="shared" ca="1" si="433"/>
        <v>-8.6534496135053889</v>
      </c>
      <c r="AH934" s="304">
        <f t="shared" ca="1" si="434"/>
        <v>-2.2420898387109789</v>
      </c>
    </row>
    <row r="935" spans="1:34" x14ac:dyDescent="0.2">
      <c r="A935" s="347">
        <f t="shared" ca="1" si="412"/>
        <v>0.1</v>
      </c>
      <c r="B935" s="304">
        <f t="shared" ca="1" si="413"/>
        <v>21.099999999999916</v>
      </c>
      <c r="D935" s="306">
        <f t="shared" ca="1" si="414"/>
        <v>-1.6743556234128409</v>
      </c>
      <c r="E935" s="307">
        <f t="shared" ca="1" si="415"/>
        <v>-11.230136478873122</v>
      </c>
      <c r="F935" s="304">
        <f t="shared" ca="1" si="416"/>
        <v>11.35426933306459</v>
      </c>
      <c r="G935" s="306">
        <f t="shared" ca="1" si="417"/>
        <v>63.890362930788569</v>
      </c>
      <c r="H935" s="307">
        <f t="shared" ca="1" si="418"/>
        <v>53.208823104314369</v>
      </c>
      <c r="I935" s="304">
        <f t="shared" ca="1" si="419"/>
        <v>83.145398739642232</v>
      </c>
      <c r="J935" s="306">
        <f t="shared" ca="1" si="420"/>
        <v>1968.5784116313687</v>
      </c>
      <c r="K935" s="307">
        <f t="shared" ca="1" si="421"/>
        <v>4137.6766656084264</v>
      </c>
      <c r="L935" s="304">
        <f t="shared" ca="1" si="406"/>
        <v>4582.1031363186867</v>
      </c>
      <c r="M935" s="306">
        <f t="shared" ca="1" si="422"/>
        <v>0.69443202393368153</v>
      </c>
      <c r="N935" s="304">
        <f t="shared" ca="1" si="423"/>
        <v>39.788024130127724</v>
      </c>
      <c r="P935" s="310">
        <f t="shared" ca="1" si="424"/>
        <v>23</v>
      </c>
      <c r="Q935" s="304">
        <f t="shared" ca="1" si="425"/>
        <v>0</v>
      </c>
      <c r="R935" s="306">
        <f t="shared" ca="1" si="426"/>
        <v>0</v>
      </c>
      <c r="S935" s="307">
        <f t="shared" ca="1" si="427"/>
        <v>15.089040186296437</v>
      </c>
      <c r="T935" s="304">
        <f t="shared" ca="1" si="407"/>
        <v>148.02348422756805</v>
      </c>
      <c r="U935" s="311">
        <f t="shared" ca="1" si="408"/>
        <v>0</v>
      </c>
      <c r="V935" s="306">
        <f t="shared" ca="1" si="409"/>
        <v>0.80502139264777017</v>
      </c>
      <c r="W935" s="304">
        <f t="shared" ca="1" si="410"/>
        <v>32.442216659292683</v>
      </c>
      <c r="Y935" s="314" t="str">
        <f t="shared" ca="1" si="428"/>
        <v/>
      </c>
      <c r="Z935" s="315" t="str">
        <f t="shared" ca="1" si="429"/>
        <v/>
      </c>
      <c r="AA935" s="316" t="str">
        <f t="shared" ca="1" si="430"/>
        <v/>
      </c>
      <c r="AC935" s="310" t="e">
        <f t="shared" ca="1" si="431"/>
        <v>#N/A</v>
      </c>
      <c r="AD935" s="323" t="e">
        <f t="shared" ca="1" si="432"/>
        <v>#N/A</v>
      </c>
      <c r="AE935" s="324">
        <f t="shared" ca="1" si="411"/>
        <v>4137.6766656084264</v>
      </c>
      <c r="AG935" s="306">
        <f t="shared" ca="1" si="433"/>
        <v>-8.5409823996904048</v>
      </c>
      <c r="AH935" s="304">
        <f t="shared" ca="1" si="434"/>
        <v>-2.1955077709451065</v>
      </c>
    </row>
    <row r="936" spans="1:34" x14ac:dyDescent="0.2">
      <c r="A936" s="347">
        <f t="shared" ca="1" si="412"/>
        <v>0.1</v>
      </c>
      <c r="B936" s="304">
        <f t="shared" ca="1" si="413"/>
        <v>21.199999999999918</v>
      </c>
      <c r="D936" s="306">
        <f t="shared" ca="1" si="414"/>
        <v>-1.6521369332897125</v>
      </c>
      <c r="E936" s="307">
        <f t="shared" ca="1" si="415"/>
        <v>-11.185923657261839</v>
      </c>
      <c r="F936" s="304">
        <f t="shared" ca="1" si="416"/>
        <v>11.307273964684414</v>
      </c>
      <c r="G936" s="306">
        <f t="shared" ca="1" si="417"/>
        <v>63.725149237459597</v>
      </c>
      <c r="H936" s="307">
        <f t="shared" ca="1" si="418"/>
        <v>52.090230738588183</v>
      </c>
      <c r="I936" s="304">
        <f t="shared" ca="1" si="419"/>
        <v>82.306055571481821</v>
      </c>
      <c r="J936" s="306">
        <f t="shared" ca="1" si="420"/>
        <v>1974.9591872397812</v>
      </c>
      <c r="K936" s="307">
        <f t="shared" ca="1" si="421"/>
        <v>4142.9416183005715</v>
      </c>
      <c r="L936" s="304">
        <f t="shared" ca="1" si="406"/>
        <v>4589.6000962948583</v>
      </c>
      <c r="M936" s="306">
        <f t="shared" ca="1" si="422"/>
        <v>0.68527318493281597</v>
      </c>
      <c r="N936" s="304">
        <f t="shared" ca="1" si="423"/>
        <v>39.263261310138311</v>
      </c>
      <c r="P936" s="310">
        <f t="shared" ca="1" si="424"/>
        <v>23</v>
      </c>
      <c r="Q936" s="304">
        <f t="shared" ca="1" si="425"/>
        <v>0</v>
      </c>
      <c r="R936" s="306">
        <f t="shared" ca="1" si="426"/>
        <v>0</v>
      </c>
      <c r="S936" s="307">
        <f t="shared" ca="1" si="427"/>
        <v>15.089040186296437</v>
      </c>
      <c r="T936" s="304">
        <f t="shared" ca="1" si="407"/>
        <v>148.02348422756805</v>
      </c>
      <c r="U936" s="311">
        <f t="shared" ca="1" si="408"/>
        <v>0</v>
      </c>
      <c r="V936" s="306">
        <f t="shared" ca="1" si="409"/>
        <v>0.80457869735548515</v>
      </c>
      <c r="W936" s="304">
        <f t="shared" ca="1" si="410"/>
        <v>31.773039738393408</v>
      </c>
      <c r="Y936" s="314" t="str">
        <f t="shared" ca="1" si="428"/>
        <v/>
      </c>
      <c r="Z936" s="315" t="str">
        <f t="shared" ca="1" si="429"/>
        <v/>
      </c>
      <c r="AA936" s="316" t="str">
        <f t="shared" ca="1" si="430"/>
        <v/>
      </c>
      <c r="AC936" s="310" t="e">
        <f t="shared" ca="1" si="431"/>
        <v>#N/A</v>
      </c>
      <c r="AD936" s="323" t="e">
        <f t="shared" ca="1" si="432"/>
        <v>#N/A</v>
      </c>
      <c r="AE936" s="324">
        <f t="shared" ca="1" si="411"/>
        <v>4142.9416183005715</v>
      </c>
      <c r="AG936" s="306">
        <f t="shared" ca="1" si="433"/>
        <v>-8.4279523826824487</v>
      </c>
      <c r="AH936" s="304">
        <f t="shared" ca="1" si="434"/>
        <v>-2.1500517102973888</v>
      </c>
    </row>
    <row r="937" spans="1:34" x14ac:dyDescent="0.2">
      <c r="A937" s="347">
        <f t="shared" ca="1" si="412"/>
        <v>0.1</v>
      </c>
      <c r="B937" s="304">
        <f t="shared" ca="1" si="413"/>
        <v>21.299999999999919</v>
      </c>
      <c r="D937" s="306">
        <f t="shared" ca="1" si="414"/>
        <v>-1.6303326379399878</v>
      </c>
      <c r="E937" s="307">
        <f t="shared" ca="1" si="415"/>
        <v>-11.142666997365367</v>
      </c>
      <c r="F937" s="304">
        <f t="shared" ca="1" si="416"/>
        <v>11.261305977749991</v>
      </c>
      <c r="G937" s="306">
        <f t="shared" ca="1" si="417"/>
        <v>63.562115973665598</v>
      </c>
      <c r="H937" s="307">
        <f t="shared" ca="1" si="418"/>
        <v>50.975964038851643</v>
      </c>
      <c r="I937" s="304">
        <f t="shared" ca="1" si="419"/>
        <v>81.478165766909669</v>
      </c>
      <c r="J937" s="306">
        <f t="shared" ca="1" si="420"/>
        <v>1981.3235505003374</v>
      </c>
      <c r="K937" s="307">
        <f t="shared" ca="1" si="421"/>
        <v>4148.0949280394434</v>
      </c>
      <c r="L937" s="304">
        <f t="shared" ca="1" si="406"/>
        <v>4596.9919016454469</v>
      </c>
      <c r="M937" s="306">
        <f t="shared" ca="1" si="422"/>
        <v>0.67595109848490742</v>
      </c>
      <c r="N937" s="304">
        <f t="shared" ca="1" si="423"/>
        <v>38.72914510041705</v>
      </c>
      <c r="P937" s="310">
        <f t="shared" ca="1" si="424"/>
        <v>23</v>
      </c>
      <c r="Q937" s="304">
        <f t="shared" ca="1" si="425"/>
        <v>0</v>
      </c>
      <c r="R937" s="306">
        <f t="shared" ca="1" si="426"/>
        <v>0</v>
      </c>
      <c r="S937" s="307">
        <f t="shared" ca="1" si="427"/>
        <v>15.089040186296437</v>
      </c>
      <c r="T937" s="304">
        <f t="shared" ca="1" si="407"/>
        <v>148.02348422756805</v>
      </c>
      <c r="U937" s="311">
        <f t="shared" ca="1" si="408"/>
        <v>0</v>
      </c>
      <c r="V937" s="306">
        <f t="shared" ca="1" si="409"/>
        <v>0.80414557632883454</v>
      </c>
      <c r="W937" s="304">
        <f t="shared" ca="1" si="410"/>
        <v>31.12030340799452</v>
      </c>
      <c r="Y937" s="314" t="str">
        <f t="shared" ca="1" si="428"/>
        <v/>
      </c>
      <c r="Z937" s="315" t="str">
        <f t="shared" ca="1" si="429"/>
        <v/>
      </c>
      <c r="AA937" s="316" t="str">
        <f t="shared" ca="1" si="430"/>
        <v/>
      </c>
      <c r="AC937" s="310" t="e">
        <f t="shared" ca="1" si="431"/>
        <v>#N/A</v>
      </c>
      <c r="AD937" s="323" t="e">
        <f t="shared" ca="1" si="432"/>
        <v>#N/A</v>
      </c>
      <c r="AE937" s="324">
        <f t="shared" ca="1" si="411"/>
        <v>4148.0949280394434</v>
      </c>
      <c r="AG937" s="306">
        <f t="shared" ca="1" si="433"/>
        <v>-8.3143005802424721</v>
      </c>
      <c r="AH937" s="304">
        <f t="shared" ca="1" si="434"/>
        <v>-2.1057031690623398</v>
      </c>
    </row>
    <row r="938" spans="1:34" x14ac:dyDescent="0.2">
      <c r="A938" s="347">
        <f t="shared" ca="1" si="412"/>
        <v>0.1</v>
      </c>
      <c r="B938" s="304">
        <f t="shared" ca="1" si="413"/>
        <v>21.39999999999992</v>
      </c>
      <c r="D938" s="306">
        <f t="shared" ca="1" si="414"/>
        <v>-1.6089380039774921</v>
      </c>
      <c r="E938" s="307">
        <f t="shared" ca="1" si="415"/>
        <v>-11.100346688041016</v>
      </c>
      <c r="F938" s="304">
        <f t="shared" ca="1" si="416"/>
        <v>11.216344239338691</v>
      </c>
      <c r="G938" s="306">
        <f t="shared" ca="1" si="417"/>
        <v>63.401222173267847</v>
      </c>
      <c r="H938" s="307">
        <f t="shared" ca="1" si="418"/>
        <v>49.865929370047539</v>
      </c>
      <c r="I938" s="304">
        <f t="shared" ca="1" si="419"/>
        <v>80.66179941584889</v>
      </c>
      <c r="J938" s="306">
        <f t="shared" ca="1" si="420"/>
        <v>1987.6717174076841</v>
      </c>
      <c r="K938" s="307">
        <f t="shared" ca="1" si="421"/>
        <v>4153.1370227098887</v>
      </c>
      <c r="L938" s="304">
        <f t="shared" ca="1" si="406"/>
        <v>4604.2790951012048</v>
      </c>
      <c r="M938" s="306">
        <f t="shared" ca="1" si="422"/>
        <v>0.66646331599543573</v>
      </c>
      <c r="N938" s="304">
        <f t="shared" ca="1" si="423"/>
        <v>38.185535206832199</v>
      </c>
      <c r="P938" s="310">
        <f t="shared" ca="1" si="424"/>
        <v>23</v>
      </c>
      <c r="Q938" s="304">
        <f t="shared" ca="1" si="425"/>
        <v>0</v>
      </c>
      <c r="R938" s="306">
        <f t="shared" ca="1" si="426"/>
        <v>0</v>
      </c>
      <c r="S938" s="307">
        <f t="shared" ca="1" si="427"/>
        <v>15.089040186296437</v>
      </c>
      <c r="T938" s="304">
        <f t="shared" ca="1" si="407"/>
        <v>148.02348422756805</v>
      </c>
      <c r="U938" s="311">
        <f t="shared" ca="1" si="408"/>
        <v>0</v>
      </c>
      <c r="V938" s="306">
        <f t="shared" ca="1" si="409"/>
        <v>0.80372198149366481</v>
      </c>
      <c r="W938" s="304">
        <f t="shared" ca="1" si="410"/>
        <v>30.483744752572594</v>
      </c>
      <c r="Y938" s="314" t="str">
        <f t="shared" ca="1" si="428"/>
        <v/>
      </c>
      <c r="Z938" s="315" t="str">
        <f t="shared" ca="1" si="429"/>
        <v/>
      </c>
      <c r="AA938" s="316" t="str">
        <f t="shared" ca="1" si="430"/>
        <v/>
      </c>
      <c r="AC938" s="310" t="e">
        <f t="shared" ca="1" si="431"/>
        <v>#N/A</v>
      </c>
      <c r="AD938" s="323" t="e">
        <f t="shared" ca="1" si="432"/>
        <v>#N/A</v>
      </c>
      <c r="AE938" s="324">
        <f t="shared" ca="1" si="411"/>
        <v>4153.1370227098887</v>
      </c>
      <c r="AG938" s="306">
        <f t="shared" ca="1" si="433"/>
        <v>-8.1999683142469539</v>
      </c>
      <c r="AH938" s="304">
        <f t="shared" ca="1" si="434"/>
        <v>-2.0624441994831026</v>
      </c>
    </row>
    <row r="939" spans="1:34" x14ac:dyDescent="0.2">
      <c r="A939" s="347">
        <f t="shared" ca="1" si="412"/>
        <v>0.1</v>
      </c>
      <c r="B939" s="304">
        <f t="shared" ca="1" si="413"/>
        <v>21.499999999999922</v>
      </c>
      <c r="D939" s="306">
        <f t="shared" ca="1" si="414"/>
        <v>-1.5879485425848756</v>
      </c>
      <c r="E939" s="307">
        <f t="shared" ca="1" si="415"/>
        <v>-11.058943271967308</v>
      </c>
      <c r="F939" s="304">
        <f t="shared" ca="1" si="416"/>
        <v>11.172368006223587</v>
      </c>
      <c r="G939" s="306">
        <f t="shared" ca="1" si="417"/>
        <v>63.242427319009359</v>
      </c>
      <c r="H939" s="307">
        <f t="shared" ca="1" si="418"/>
        <v>48.760035042850809</v>
      </c>
      <c r="I939" s="304">
        <f t="shared" ca="1" si="419"/>
        <v>79.85703244286141</v>
      </c>
      <c r="J939" s="306">
        <f t="shared" ca="1" si="420"/>
        <v>1994.0038998822979</v>
      </c>
      <c r="K939" s="307">
        <f t="shared" ca="1" si="421"/>
        <v>4158.0683209305334</v>
      </c>
      <c r="L939" s="304">
        <f t="shared" ca="1" si="406"/>
        <v>4611.4622100014958</v>
      </c>
      <c r="M939" s="306">
        <f t="shared" ca="1" si="422"/>
        <v>0.65680742593487729</v>
      </c>
      <c r="N939" s="304">
        <f t="shared" ca="1" si="423"/>
        <v>37.632293458919875</v>
      </c>
      <c r="P939" s="310">
        <f t="shared" ca="1" si="424"/>
        <v>23</v>
      </c>
      <c r="Q939" s="304">
        <f t="shared" ca="1" si="425"/>
        <v>0</v>
      </c>
      <c r="R939" s="306">
        <f t="shared" ca="1" si="426"/>
        <v>0</v>
      </c>
      <c r="S939" s="307">
        <f t="shared" ca="1" si="427"/>
        <v>15.089040186296437</v>
      </c>
      <c r="T939" s="304">
        <f t="shared" ca="1" si="407"/>
        <v>148.02348422756805</v>
      </c>
      <c r="U939" s="311">
        <f t="shared" ca="1" si="408"/>
        <v>0</v>
      </c>
      <c r="V939" s="306">
        <f t="shared" ca="1" si="409"/>
        <v>0.80330786588787129</v>
      </c>
      <c r="W939" s="304">
        <f t="shared" ca="1" si="410"/>
        <v>29.863108515741342</v>
      </c>
      <c r="Y939" s="314" t="str">
        <f t="shared" ca="1" si="428"/>
        <v/>
      </c>
      <c r="Z939" s="315" t="str">
        <f t="shared" ca="1" si="429"/>
        <v/>
      </c>
      <c r="AA939" s="316" t="str">
        <f t="shared" ca="1" si="430"/>
        <v/>
      </c>
      <c r="AC939" s="310" t="e">
        <f t="shared" ca="1" si="431"/>
        <v>#N/A</v>
      </c>
      <c r="AD939" s="323" t="e">
        <f t="shared" ca="1" si="432"/>
        <v>#N/A</v>
      </c>
      <c r="AE939" s="324">
        <f t="shared" ca="1" si="411"/>
        <v>4158.0683209305334</v>
      </c>
      <c r="AG939" s="306">
        <f t="shared" ca="1" si="433"/>
        <v>-8.084897277003817</v>
      </c>
      <c r="AH939" s="304">
        <f t="shared" ca="1" si="434"/>
        <v>-2.0202573772888033</v>
      </c>
    </row>
    <row r="940" spans="1:34" x14ac:dyDescent="0.2">
      <c r="A940" s="347">
        <f t="shared" ca="1" si="412"/>
        <v>0.1</v>
      </c>
      <c r="B940" s="304">
        <f t="shared" ca="1" si="413"/>
        <v>21.599999999999923</v>
      </c>
      <c r="D940" s="306">
        <f t="shared" ca="1" si="414"/>
        <v>-1.567360003685115</v>
      </c>
      <c r="E940" s="307">
        <f t="shared" ca="1" si="415"/>
        <v>-11.018437625566554</v>
      </c>
      <c r="F940" s="304">
        <f t="shared" ca="1" si="416"/>
        <v>11.129356903687315</v>
      </c>
      <c r="G940" s="306">
        <f t="shared" ca="1" si="417"/>
        <v>63.085691318640848</v>
      </c>
      <c r="H940" s="307">
        <f t="shared" ca="1" si="418"/>
        <v>47.658191280294155</v>
      </c>
      <c r="I940" s="304">
        <f t="shared" ca="1" si="419"/>
        <v>79.063946557580479</v>
      </c>
      <c r="J940" s="306">
        <f t="shared" ca="1" si="420"/>
        <v>2000.3203058141803</v>
      </c>
      <c r="K940" s="307">
        <f t="shared" ca="1" si="421"/>
        <v>4162.8892322466909</v>
      </c>
      <c r="L940" s="304">
        <f t="shared" ca="1" si="406"/>
        <v>4618.541770495096</v>
      </c>
      <c r="M940" s="306">
        <f t="shared" ca="1" si="422"/>
        <v>0.6469810614184055</v>
      </c>
      <c r="N940" s="304">
        <f t="shared" ca="1" si="423"/>
        <v>37.069284244168934</v>
      </c>
      <c r="P940" s="310">
        <f t="shared" ca="1" si="424"/>
        <v>23</v>
      </c>
      <c r="Q940" s="304">
        <f t="shared" ca="1" si="425"/>
        <v>0</v>
      </c>
      <c r="R940" s="306">
        <f t="shared" ca="1" si="426"/>
        <v>0</v>
      </c>
      <c r="S940" s="307">
        <f t="shared" ca="1" si="427"/>
        <v>15.089040186296437</v>
      </c>
      <c r="T940" s="304">
        <f t="shared" ca="1" si="407"/>
        <v>148.02348422756805</v>
      </c>
      <c r="U940" s="311">
        <f t="shared" ca="1" si="408"/>
        <v>0</v>
      </c>
      <c r="V940" s="306">
        <f t="shared" ca="1" si="409"/>
        <v>0.80290318363943147</v>
      </c>
      <c r="W940" s="304">
        <f t="shared" ca="1" si="410"/>
        <v>29.258146868740091</v>
      </c>
      <c r="Y940" s="314" t="str">
        <f t="shared" ca="1" si="428"/>
        <v/>
      </c>
      <c r="Z940" s="315" t="str">
        <f t="shared" ca="1" si="429"/>
        <v/>
      </c>
      <c r="AA940" s="316" t="str">
        <f t="shared" ca="1" si="430"/>
        <v/>
      </c>
      <c r="AC940" s="310" t="e">
        <f t="shared" ca="1" si="431"/>
        <v>#N/A</v>
      </c>
      <c r="AD940" s="323" t="e">
        <f t="shared" ca="1" si="432"/>
        <v>#N/A</v>
      </c>
      <c r="AE940" s="324">
        <f t="shared" ca="1" si="411"/>
        <v>4162.8892322466909</v>
      </c>
      <c r="AG940" s="306">
        <f t="shared" ca="1" si="433"/>
        <v>-7.9690296068941482</v>
      </c>
      <c r="AH940" s="304">
        <f t="shared" ca="1" si="434"/>
        <v>-1.9791257858046145</v>
      </c>
    </row>
    <row r="941" spans="1:34" x14ac:dyDescent="0.2">
      <c r="A941" s="347">
        <f t="shared" ca="1" si="412"/>
        <v>0.1</v>
      </c>
      <c r="B941" s="304">
        <f t="shared" ca="1" si="413"/>
        <v>21.699999999999925</v>
      </c>
      <c r="D941" s="306">
        <f t="shared" ca="1" si="414"/>
        <v>-1.5471683701492638</v>
      </c>
      <c r="E941" s="307">
        <f t="shared" ca="1" si="415"/>
        <v>-10.978810939313698</v>
      </c>
      <c r="F941" s="304">
        <f t="shared" ca="1" si="416"/>
        <v>11.087290904760479</v>
      </c>
      <c r="G941" s="306">
        <f t="shared" ca="1" si="417"/>
        <v>62.930974481625924</v>
      </c>
      <c r="H941" s="307">
        <f t="shared" ca="1" si="418"/>
        <v>46.560310186362784</v>
      </c>
      <c r="I941" s="304">
        <f t="shared" ca="1" si="419"/>
        <v>78.282629196120979</v>
      </c>
      <c r="J941" s="306">
        <f t="shared" ca="1" si="420"/>
        <v>2006.6211391041936</v>
      </c>
      <c r="K941" s="307">
        <f t="shared" ca="1" si="421"/>
        <v>4167.6001573200238</v>
      </c>
      <c r="L941" s="304">
        <f t="shared" ca="1" si="406"/>
        <v>4625.5182917370139</v>
      </c>
      <c r="M941" s="306">
        <f t="shared" ca="1" si="422"/>
        <v>0.63698190830109858</v>
      </c>
      <c r="N941" s="304">
        <f t="shared" ca="1" si="423"/>
        <v>36.496374971842165</v>
      </c>
      <c r="P941" s="310">
        <f t="shared" ca="1" si="424"/>
        <v>23</v>
      </c>
      <c r="Q941" s="304">
        <f t="shared" ca="1" si="425"/>
        <v>0</v>
      </c>
      <c r="R941" s="306">
        <f t="shared" ca="1" si="426"/>
        <v>0</v>
      </c>
      <c r="S941" s="307">
        <f t="shared" ca="1" si="427"/>
        <v>15.089040186296437</v>
      </c>
      <c r="T941" s="304">
        <f t="shared" ca="1" si="407"/>
        <v>148.02348422756805</v>
      </c>
      <c r="U941" s="311">
        <f t="shared" ca="1" si="408"/>
        <v>0</v>
      </c>
      <c r="V941" s="306">
        <f t="shared" ca="1" si="409"/>
        <v>0.80250788994490196</v>
      </c>
      <c r="W941" s="304">
        <f t="shared" ca="1" si="410"/>
        <v>28.668619186802548</v>
      </c>
      <c r="Y941" s="314" t="str">
        <f t="shared" ca="1" si="428"/>
        <v/>
      </c>
      <c r="Z941" s="315" t="str">
        <f t="shared" ca="1" si="429"/>
        <v/>
      </c>
      <c r="AA941" s="316" t="str">
        <f t="shared" ca="1" si="430"/>
        <v/>
      </c>
      <c r="AC941" s="310" t="e">
        <f t="shared" ca="1" si="431"/>
        <v>#N/A</v>
      </c>
      <c r="AD941" s="323" t="e">
        <f t="shared" ca="1" si="432"/>
        <v>#N/A</v>
      </c>
      <c r="AE941" s="324">
        <f t="shared" ca="1" si="411"/>
        <v>4167.6001573200238</v>
      </c>
      <c r="AG941" s="306">
        <f t="shared" ca="1" si="433"/>
        <v>-7.8523079737875152</v>
      </c>
      <c r="AH941" s="304">
        <f t="shared" ca="1" si="434"/>
        <v>-1.9390330006087302</v>
      </c>
    </row>
    <row r="942" spans="1:34" x14ac:dyDescent="0.2">
      <c r="A942" s="347">
        <f t="shared" ca="1" si="412"/>
        <v>0.1</v>
      </c>
      <c r="B942" s="304">
        <f t="shared" ca="1" si="413"/>
        <v>21.799999999999926</v>
      </c>
      <c r="D942" s="306">
        <f t="shared" ca="1" si="414"/>
        <v>-1.5273698520160512</v>
      </c>
      <c r="E942" s="307">
        <f t="shared" ca="1" si="415"/>
        <v>-10.940044698416834</v>
      </c>
      <c r="F942" s="304">
        <f t="shared" ca="1" si="416"/>
        <v>11.046150309868404</v>
      </c>
      <c r="G942" s="306">
        <f t="shared" ca="1" si="417"/>
        <v>62.778237496424317</v>
      </c>
      <c r="H942" s="307">
        <f t="shared" ca="1" si="418"/>
        <v>45.466305716521099</v>
      </c>
      <c r="I942" s="304">
        <f t="shared" ca="1" si="419"/>
        <v>77.513173452424297</v>
      </c>
      <c r="J942" s="306">
        <f t="shared" ca="1" si="420"/>
        <v>2012.9065997030962</v>
      </c>
      <c r="K942" s="307">
        <f t="shared" ca="1" si="421"/>
        <v>4172.2014881151681</v>
      </c>
      <c r="L942" s="304">
        <f t="shared" ca="1" si="406"/>
        <v>4632.3922800815026</v>
      </c>
      <c r="M942" s="306">
        <f t="shared" ca="1" si="422"/>
        <v>0.62680771380084088</v>
      </c>
      <c r="N942" s="304">
        <f t="shared" ca="1" si="423"/>
        <v>35.913436567032186</v>
      </c>
      <c r="P942" s="310">
        <f t="shared" ca="1" si="424"/>
        <v>23</v>
      </c>
      <c r="Q942" s="304">
        <f t="shared" ca="1" si="425"/>
        <v>0</v>
      </c>
      <c r="R942" s="306">
        <f t="shared" ca="1" si="426"/>
        <v>0</v>
      </c>
      <c r="S942" s="307">
        <f t="shared" ca="1" si="427"/>
        <v>15.089040186296437</v>
      </c>
      <c r="T942" s="304">
        <f t="shared" ca="1" si="407"/>
        <v>148.02348422756805</v>
      </c>
      <c r="U942" s="311">
        <f t="shared" ca="1" si="408"/>
        <v>0</v>
      </c>
      <c r="V942" s="306">
        <f t="shared" ca="1" si="409"/>
        <v>0.80212194104835677</v>
      </c>
      <c r="W942" s="304">
        <f t="shared" ca="1" si="410"/>
        <v>28.094291833049443</v>
      </c>
      <c r="Y942" s="314" t="str">
        <f t="shared" ca="1" si="428"/>
        <v/>
      </c>
      <c r="Z942" s="315" t="str">
        <f t="shared" ca="1" si="429"/>
        <v/>
      </c>
      <c r="AA942" s="316" t="str">
        <f t="shared" ca="1" si="430"/>
        <v/>
      </c>
      <c r="AC942" s="310" t="e">
        <f t="shared" ca="1" si="431"/>
        <v>#N/A</v>
      </c>
      <c r="AD942" s="323" t="e">
        <f t="shared" ca="1" si="432"/>
        <v>#N/A</v>
      </c>
      <c r="AE942" s="324">
        <f t="shared" ca="1" si="411"/>
        <v>4172.2014881151681</v>
      </c>
      <c r="AG942" s="306">
        <f t="shared" ca="1" si="433"/>
        <v>-7.7346756746666783</v>
      </c>
      <c r="AH942" s="304">
        <f t="shared" ca="1" si="434"/>
        <v>-1.8999630747115919</v>
      </c>
    </row>
    <row r="943" spans="1:34" x14ac:dyDescent="0.2">
      <c r="A943" s="347">
        <f t="shared" ca="1" si="412"/>
        <v>0.1</v>
      </c>
      <c r="B943" s="304">
        <f t="shared" ca="1" si="413"/>
        <v>21.899999999999928</v>
      </c>
      <c r="D943" s="306">
        <f t="shared" ca="1" si="414"/>
        <v>-1.5079608806986278</v>
      </c>
      <c r="E943" s="307">
        <f t="shared" ca="1" si="415"/>
        <v>-10.902120663857492</v>
      </c>
      <c r="F943" s="304">
        <f t="shared" ca="1" si="416"/>
        <v>11.005915726872793</v>
      </c>
      <c r="G943" s="306">
        <f t="shared" ca="1" si="417"/>
        <v>62.627441408354457</v>
      </c>
      <c r="H943" s="307">
        <f t="shared" ca="1" si="418"/>
        <v>44.376093650135353</v>
      </c>
      <c r="I943" s="304">
        <f t="shared" ca="1" si="419"/>
        <v>76.755677998454644</v>
      </c>
      <c r="J943" s="306">
        <f t="shared" ca="1" si="420"/>
        <v>2019.1768836483352</v>
      </c>
      <c r="K943" s="307">
        <f t="shared" ca="1" si="421"/>
        <v>4176.6936080835012</v>
      </c>
      <c r="L943" s="304">
        <f t="shared" ca="1" si="406"/>
        <v>4639.1642332714819</v>
      </c>
      <c r="M943" s="306">
        <f t="shared" ca="1" si="422"/>
        <v>0.61645629565864357</v>
      </c>
      <c r="N943" s="304">
        <f t="shared" ca="1" si="423"/>
        <v>35.320343995509127</v>
      </c>
      <c r="P943" s="310">
        <f t="shared" ca="1" si="424"/>
        <v>23</v>
      </c>
      <c r="Q943" s="304">
        <f t="shared" ca="1" si="425"/>
        <v>0</v>
      </c>
      <c r="R943" s="306">
        <f t="shared" ca="1" si="426"/>
        <v>0</v>
      </c>
      <c r="S943" s="307">
        <f t="shared" ca="1" si="427"/>
        <v>15.089040186296437</v>
      </c>
      <c r="T943" s="304">
        <f t="shared" ca="1" si="407"/>
        <v>148.02348422756805</v>
      </c>
      <c r="U943" s="311">
        <f t="shared" ca="1" si="408"/>
        <v>0</v>
      </c>
      <c r="V943" s="306">
        <f t="shared" ca="1" si="409"/>
        <v>0.80174529422074514</v>
      </c>
      <c r="W943" s="304">
        <f t="shared" ca="1" si="410"/>
        <v>27.53493794956406</v>
      </c>
      <c r="Y943" s="314" t="str">
        <f t="shared" ca="1" si="428"/>
        <v/>
      </c>
      <c r="Z943" s="315" t="str">
        <f t="shared" ca="1" si="429"/>
        <v/>
      </c>
      <c r="AA943" s="316" t="str">
        <f t="shared" ca="1" si="430"/>
        <v/>
      </c>
      <c r="AC943" s="310" t="e">
        <f t="shared" ca="1" si="431"/>
        <v>#N/A</v>
      </c>
      <c r="AD943" s="323" t="e">
        <f t="shared" ca="1" si="432"/>
        <v>#N/A</v>
      </c>
      <c r="AE943" s="324">
        <f t="shared" ca="1" si="411"/>
        <v>4176.6936080835012</v>
      </c>
      <c r="AG943" s="306">
        <f t="shared" ca="1" si="433"/>
        <v>-7.6160767398783191</v>
      </c>
      <c r="AH943" s="304">
        <f t="shared" ca="1" si="434"/>
        <v>-1.8619005242337492</v>
      </c>
    </row>
    <row r="944" spans="1:34" x14ac:dyDescent="0.2">
      <c r="A944" s="347">
        <f t="shared" ca="1" si="412"/>
        <v>0.1</v>
      </c>
      <c r="B944" s="304">
        <f t="shared" ca="1" si="413"/>
        <v>21.999999999999929</v>
      </c>
      <c r="D944" s="306">
        <f t="shared" ca="1" si="414"/>
        <v>-1.4889381031535001</v>
      </c>
      <c r="E944" s="307">
        <f t="shared" ca="1" si="415"/>
        <v>-10.865020853781527</v>
      </c>
      <c r="F944" s="304">
        <f t="shared" ca="1" si="416"/>
        <v>10.966568051497688</v>
      </c>
      <c r="G944" s="306">
        <f t="shared" ca="1" si="417"/>
        <v>62.478547598039107</v>
      </c>
      <c r="H944" s="307">
        <f t="shared" ca="1" si="418"/>
        <v>43.289591564757202</v>
      </c>
      <c r="I944" s="304">
        <f t="shared" ca="1" si="419"/>
        <v>76.010246992125587</v>
      </c>
      <c r="J944" s="306">
        <f t="shared" ca="1" si="420"/>
        <v>2025.4321830986548</v>
      </c>
      <c r="K944" s="307">
        <f t="shared" ca="1" si="421"/>
        <v>4181.0768923442456</v>
      </c>
      <c r="L944" s="304">
        <f t="shared" ca="1" si="406"/>
        <v>4645.8346406245237</v>
      </c>
      <c r="M944" s="306">
        <f t="shared" ca="1" si="422"/>
        <v>0.60592555184319052</v>
      </c>
      <c r="N944" s="304">
        <f t="shared" ca="1" si="423"/>
        <v>34.71697681975018</v>
      </c>
      <c r="P944" s="310">
        <f t="shared" ca="1" si="424"/>
        <v>23</v>
      </c>
      <c r="Q944" s="304">
        <f t="shared" ca="1" si="425"/>
        <v>0</v>
      </c>
      <c r="R944" s="306">
        <f t="shared" ca="1" si="426"/>
        <v>0</v>
      </c>
      <c r="S944" s="307">
        <f t="shared" ca="1" si="427"/>
        <v>15.089040186296437</v>
      </c>
      <c r="T944" s="304">
        <f t="shared" ca="1" si="407"/>
        <v>148.02348422756805</v>
      </c>
      <c r="U944" s="311">
        <f t="shared" ca="1" si="408"/>
        <v>0</v>
      </c>
      <c r="V944" s="306">
        <f t="shared" ca="1" si="409"/>
        <v>0.80137790773964479</v>
      </c>
      <c r="W944" s="304">
        <f t="shared" ca="1" si="410"/>
        <v>26.990337255323052</v>
      </c>
      <c r="Y944" s="314" t="str">
        <f t="shared" ca="1" si="428"/>
        <v/>
      </c>
      <c r="Z944" s="315" t="str">
        <f t="shared" ca="1" si="429"/>
        <v>Para</v>
      </c>
      <c r="AA944" s="316" t="str">
        <f t="shared" ca="1" si="430"/>
        <v/>
      </c>
      <c r="AC944" s="310">
        <f t="shared" ca="1" si="431"/>
        <v>21.999999999999929</v>
      </c>
      <c r="AD944" s="323">
        <f t="shared" ca="1" si="432"/>
        <v>2025.4321830986548</v>
      </c>
      <c r="AE944" s="324">
        <f t="shared" ca="1" si="411"/>
        <v>4181.0768923442456</v>
      </c>
      <c r="AG944" s="306">
        <f t="shared" ca="1" si="433"/>
        <v>-7.4964560503990274</v>
      </c>
      <c r="AH944" s="304">
        <f t="shared" ca="1" si="434"/>
        <v>-1.8248303145597518</v>
      </c>
    </row>
    <row r="945" spans="1:34" x14ac:dyDescent="0.2">
      <c r="A945" s="347">
        <f t="shared" ca="1" si="412"/>
        <v>0.1</v>
      </c>
      <c r="B945" s="304">
        <f t="shared" ca="1" si="413"/>
        <v>22.09999999999993</v>
      </c>
      <c r="D945" s="306">
        <f t="shared" ca="1" si="414"/>
        <v>-1.4702983759864658</v>
      </c>
      <c r="E945" s="307">
        <f t="shared" ca="1" si="415"/>
        <v>-10.828727525234239</v>
      </c>
      <c r="F945" s="304">
        <f t="shared" ca="1" si="416"/>
        <v>10.928088448131909</v>
      </c>
      <c r="G945" s="306">
        <f t="shared" ca="1" si="417"/>
        <v>62.331517760440462</v>
      </c>
      <c r="H945" s="307">
        <f t="shared" ca="1" si="418"/>
        <v>42.206718812233781</v>
      </c>
      <c r="I945" s="304">
        <f t="shared" ca="1" si="419"/>
        <v>75.276989971803957</v>
      </c>
      <c r="J945" s="306">
        <f t="shared" ca="1" si="420"/>
        <v>2031.6726863665788</v>
      </c>
      <c r="K945" s="307">
        <f t="shared" ca="1" si="421"/>
        <v>4185.3517078630948</v>
      </c>
      <c r="L945" s="304">
        <f t="shared" ca="1" si="406"/>
        <v>4652.4039832156141</v>
      </c>
      <c r="M945" s="306">
        <f t="shared" ca="1" si="422"/>
        <v>0.5952134708030079</v>
      </c>
      <c r="N945" s="304">
        <f t="shared" ca="1" si="423"/>
        <v>34.103219786345605</v>
      </c>
      <c r="P945" s="310">
        <f t="shared" ca="1" si="424"/>
        <v>23</v>
      </c>
      <c r="Q945" s="304">
        <f t="shared" ca="1" si="425"/>
        <v>0</v>
      </c>
      <c r="R945" s="306">
        <f t="shared" ca="1" si="426"/>
        <v>0</v>
      </c>
      <c r="S945" s="307">
        <f t="shared" ca="1" si="427"/>
        <v>15.089040186296437</v>
      </c>
      <c r="T945" s="304">
        <f t="shared" ca="1" si="407"/>
        <v>148.02348422756805</v>
      </c>
      <c r="U945" s="311">
        <f t="shared" ca="1" si="408"/>
        <v>0</v>
      </c>
      <c r="V945" s="306">
        <f t="shared" ca="1" si="409"/>
        <v>0.80101974086939642</v>
      </c>
      <c r="W945" s="304">
        <f t="shared" ca="1" si="410"/>
        <v>26.460275850670005</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-7.3757594664690931</v>
      </c>
      <c r="AH945" s="304">
        <f t="shared" ca="1" si="434"/>
        <v>-1.788737846946364</v>
      </c>
    </row>
    <row r="946" spans="1:34" x14ac:dyDescent="0.2">
      <c r="A946" s="347">
        <f t="shared" ca="1" si="412"/>
        <v>0.1</v>
      </c>
      <c r="B946" s="304">
        <f t="shared" ca="1" si="413"/>
        <v>22.199999999999932</v>
      </c>
      <c r="D946" s="306">
        <f t="shared" ca="1" si="414"/>
        <v>-1.4520387594702684</v>
      </c>
      <c r="E946" s="307">
        <f t="shared" ca="1" si="415"/>
        <v>-10.793223156236415</v>
      </c>
      <c r="F946" s="304">
        <f t="shared" ca="1" si="416"/>
        <v>10.890458331003426</v>
      </c>
      <c r="G946" s="306">
        <f t="shared" ca="1" si="417"/>
        <v>62.186313884493437</v>
      </c>
      <c r="H946" s="307">
        <f t="shared" ca="1" si="418"/>
        <v>41.127396496610139</v>
      </c>
      <c r="I946" s="304">
        <f t="shared" ca="1" si="419"/>
        <v>74.556021736209345</v>
      </c>
      <c r="J946" s="306">
        <f t="shared" ca="1" si="420"/>
        <v>2037.8985779488255</v>
      </c>
      <c r="K946" s="307">
        <f t="shared" ca="1" si="421"/>
        <v>4189.518413628537</v>
      </c>
      <c r="L946" s="304">
        <f t="shared" ca="1" si="406"/>
        <v>4658.8727340568576</v>
      </c>
      <c r="M946" s="306">
        <f t="shared" ca="1" si="422"/>
        <v>0.58431814226571843</v>
      </c>
      <c r="N946" s="304">
        <f t="shared" ca="1" si="423"/>
        <v>33.47896344475047</v>
      </c>
      <c r="P946" s="310">
        <f t="shared" ca="1" si="424"/>
        <v>23</v>
      </c>
      <c r="Q946" s="304">
        <f t="shared" ca="1" si="425"/>
        <v>0</v>
      </c>
      <c r="R946" s="306">
        <f t="shared" ca="1" si="426"/>
        <v>0</v>
      </c>
      <c r="S946" s="307">
        <f t="shared" ca="1" si="427"/>
        <v>15.089040186296437</v>
      </c>
      <c r="T946" s="304">
        <f t="shared" ca="1" si="407"/>
        <v>148.02348422756805</v>
      </c>
      <c r="U946" s="311">
        <f t="shared" ca="1" si="408"/>
        <v>0</v>
      </c>
      <c r="V946" s="306">
        <f t="shared" ca="1" si="409"/>
        <v>0.80067075384159248</v>
      </c>
      <c r="W946" s="304">
        <f t="shared" ca="1" si="410"/>
        <v>25.944546028030487</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-7.2539339678999113</v>
      </c>
      <c r="AH946" s="304">
        <f t="shared" ca="1" si="434"/>
        <v>-1.7536089455643902</v>
      </c>
    </row>
    <row r="947" spans="1:34" x14ac:dyDescent="0.2">
      <c r="A947" s="347">
        <f t="shared" ca="1" si="412"/>
        <v>0.1</v>
      </c>
      <c r="B947" s="304">
        <f t="shared" ca="1" si="413"/>
        <v>22.299999999999933</v>
      </c>
      <c r="D947" s="306">
        <f t="shared" ca="1" si="414"/>
        <v>-1.4341565114485479</v>
      </c>
      <c r="E947" s="307">
        <f t="shared" ca="1" si="415"/>
        <v>-10.758490428200915</v>
      </c>
      <c r="F947" s="304">
        <f t="shared" ca="1" si="416"/>
        <v>10.853659345723957</v>
      </c>
      <c r="G947" s="306">
        <f t="shared" ca="1" si="417"/>
        <v>62.042898233348581</v>
      </c>
      <c r="H947" s="307">
        <f t="shared" ca="1" si="418"/>
        <v>40.05154745379005</v>
      </c>
      <c r="I947" s="304">
        <f t="shared" ca="1" si="419"/>
        <v>73.847462208506826</v>
      </c>
      <c r="J947" s="306">
        <f t="shared" ca="1" si="420"/>
        <v>2044.1100385547177</v>
      </c>
      <c r="K947" s="307">
        <f t="shared" ca="1" si="421"/>
        <v>4193.577360826057</v>
      </c>
      <c r="L947" s="304">
        <f t="shared" ca="1" si="406"/>
        <v>4665.2413582742965</v>
      </c>
      <c r="M947" s="306">
        <f t="shared" ca="1" si="422"/>
        <v>0.57323776857935116</v>
      </c>
      <c r="N947" s="304">
        <f t="shared" ca="1" si="423"/>
        <v>32.844104797093813</v>
      </c>
      <c r="P947" s="310">
        <f t="shared" ca="1" si="424"/>
        <v>23</v>
      </c>
      <c r="Q947" s="304">
        <f t="shared" ca="1" si="425"/>
        <v>0</v>
      </c>
      <c r="R947" s="306">
        <f t="shared" ca="1" si="426"/>
        <v>0</v>
      </c>
      <c r="S947" s="307">
        <f t="shared" ca="1" si="427"/>
        <v>15.089040186296437</v>
      </c>
      <c r="T947" s="304">
        <f t="shared" ca="1" si="407"/>
        <v>148.02348422756805</v>
      </c>
      <c r="U947" s="311">
        <f t="shared" ca="1" si="408"/>
        <v>0</v>
      </c>
      <c r="V947" s="306">
        <f t="shared" ca="1" si="409"/>
        <v>0.80033090783590355</v>
      </c>
      <c r="W947" s="304">
        <f t="shared" ca="1" si="410"/>
        <v>25.442946088580907</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-7.1309278063025614</v>
      </c>
      <c r="AH947" s="304">
        <f t="shared" ca="1" si="434"/>
        <v>-1.7194298449541412</v>
      </c>
    </row>
    <row r="948" spans="1:34" x14ac:dyDescent="0.2">
      <c r="A948" s="347">
        <f t="shared" ca="1" si="412"/>
        <v>0.1</v>
      </c>
      <c r="B948" s="304">
        <f t="shared" ca="1" si="413"/>
        <v>22.399999999999935</v>
      </c>
      <c r="D948" s="306">
        <f t="shared" ca="1" si="414"/>
        <v>-1.4166490811007788</v>
      </c>
      <c r="E948" s="307">
        <f t="shared" ca="1" si="415"/>
        <v>-10.724512208692699</v>
      </c>
      <c r="F948" s="304">
        <f t="shared" ca="1" si="416"/>
        <v>10.817673351205537</v>
      </c>
      <c r="G948" s="306">
        <f t="shared" ca="1" si="417"/>
        <v>61.901233325238501</v>
      </c>
      <c r="H948" s="307">
        <f t="shared" ca="1" si="418"/>
        <v>38.979096232920782</v>
      </c>
      <c r="I948" s="304">
        <f t="shared" ca="1" si="419"/>
        <v>73.151436283376668</v>
      </c>
      <c r="J948" s="306">
        <f t="shared" ca="1" si="420"/>
        <v>2050.307245132647</v>
      </c>
      <c r="K948" s="307">
        <f t="shared" ca="1" si="421"/>
        <v>4197.5288930103925</v>
      </c>
      <c r="L948" s="304">
        <f t="shared" ca="1" si="406"/>
        <v>4671.5103132820414</v>
      </c>
      <c r="M948" s="306">
        <f t="shared" ca="1" si="422"/>
        <v>0.56197067658560096</v>
      </c>
      <c r="N948" s="304">
        <f t="shared" ca="1" si="423"/>
        <v>32.198547978466287</v>
      </c>
      <c r="P948" s="310">
        <f t="shared" ca="1" si="424"/>
        <v>23</v>
      </c>
      <c r="Q948" s="304">
        <f t="shared" ca="1" si="425"/>
        <v>0</v>
      </c>
      <c r="R948" s="306">
        <f t="shared" ca="1" si="426"/>
        <v>0</v>
      </c>
      <c r="S948" s="307">
        <f t="shared" ca="1" si="427"/>
        <v>15.089040186296437</v>
      </c>
      <c r="T948" s="304">
        <f t="shared" ca="1" si="407"/>
        <v>148.02348422756805</v>
      </c>
      <c r="U948" s="311">
        <f t="shared" ca="1" si="408"/>
        <v>0</v>
      </c>
      <c r="V948" s="306">
        <f t="shared" ca="1" si="409"/>
        <v>0.80000016496122284</v>
      </c>
      <c r="W948" s="304">
        <f t="shared" ca="1" si="410"/>
        <v>24.955280164594512</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-7.0066906694148257</v>
      </c>
      <c r="AH948" s="304">
        <f t="shared" ca="1" si="434"/>
        <v>-1.6861871778754807</v>
      </c>
    </row>
    <row r="949" spans="1:34" x14ac:dyDescent="0.2">
      <c r="A949" s="347">
        <f t="shared" ca="1" si="412"/>
        <v>0.1</v>
      </c>
      <c r="B949" s="304">
        <f t="shared" ca="1" si="413"/>
        <v>22.499999999999936</v>
      </c>
      <c r="D949" s="306">
        <f t="shared" ca="1" si="414"/>
        <v>-1.3995141025430131</v>
      </c>
      <c r="E949" s="307">
        <f t="shared" ca="1" si="415"/>
        <v>-10.691271534538423</v>
      </c>
      <c r="F949" s="304">
        <f t="shared" ca="1" si="416"/>
        <v>10.782482401954029</v>
      </c>
      <c r="G949" s="306">
        <f t="shared" ca="1" si="417"/>
        <v>61.761281914984203</v>
      </c>
      <c r="H949" s="307">
        <f t="shared" ca="1" si="418"/>
        <v>37.90996907946694</v>
      </c>
      <c r="I949" s="304">
        <f t="shared" ca="1" si="419"/>
        <v>72.4680736558403</v>
      </c>
      <c r="J949" s="306">
        <f t="shared" ca="1" si="420"/>
        <v>2056.4903708946581</v>
      </c>
      <c r="K949" s="307">
        <f t="shared" ca="1" si="421"/>
        <v>4201.3733462760119</v>
      </c>
      <c r="L949" s="304">
        <f t="shared" ca="1" si="406"/>
        <v>4677.6800489538555</v>
      </c>
      <c r="M949" s="306">
        <f t="shared" ca="1" si="422"/>
        <v>0.55051533000925534</v>
      </c>
      <c r="N949" s="304">
        <f t="shared" ca="1" si="423"/>
        <v>31.542204966782048</v>
      </c>
      <c r="P949" s="310">
        <f t="shared" ca="1" si="424"/>
        <v>23</v>
      </c>
      <c r="Q949" s="304">
        <f t="shared" ca="1" si="425"/>
        <v>0</v>
      </c>
      <c r="R949" s="306">
        <f t="shared" ca="1" si="426"/>
        <v>0</v>
      </c>
      <c r="S949" s="307">
        <f t="shared" ca="1" si="427"/>
        <v>15.089040186296437</v>
      </c>
      <c r="T949" s="304">
        <f t="shared" ca="1" si="407"/>
        <v>148.02348422756805</v>
      </c>
      <c r="U949" s="311">
        <f t="shared" ca="1" si="408"/>
        <v>0</v>
      </c>
      <c r="V949" s="306">
        <f t="shared" ca="1" si="409"/>
        <v>0.79967848823710974</v>
      </c>
      <c r="W949" s="304">
        <f t="shared" ca="1" si="410"/>
        <v>24.481358047199379</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-6.8811738576201371</v>
      </c>
      <c r="AH949" s="304">
        <f t="shared" ca="1" si="434"/>
        <v>-1.6538679635341151</v>
      </c>
    </row>
    <row r="950" spans="1:34" x14ac:dyDescent="0.2">
      <c r="A950" s="347">
        <f t="shared" ca="1" si="412"/>
        <v>0.1</v>
      </c>
      <c r="B950" s="304">
        <f t="shared" ca="1" si="413"/>
        <v>22.599999999999937</v>
      </c>
      <c r="D950" s="306">
        <f t="shared" ca="1" si="414"/>
        <v>-1.3827493882395772</v>
      </c>
      <c r="E950" s="307">
        <f t="shared" ca="1" si="415"/>
        <v>-10.658751595295115</v>
      </c>
      <c r="F950" s="304">
        <f t="shared" ca="1" si="416"/>
        <v>10.748068730748008</v>
      </c>
      <c r="G950" s="306">
        <f t="shared" ca="1" si="417"/>
        <v>61.623006976160248</v>
      </c>
      <c r="H950" s="307">
        <f t="shared" ca="1" si="418"/>
        <v>36.844093919937428</v>
      </c>
      <c r="I950" s="304">
        <f t="shared" ca="1" si="419"/>
        <v>71.797508630627732</v>
      </c>
      <c r="J950" s="306">
        <f t="shared" ca="1" si="420"/>
        <v>2062.6595853392155</v>
      </c>
      <c r="K950" s="307">
        <f t="shared" ca="1" si="421"/>
        <v>4205.1110494259819</v>
      </c>
      <c r="L950" s="304">
        <f t="shared" ca="1" si="406"/>
        <v>4683.7510077923898</v>
      </c>
      <c r="M950" s="306">
        <f t="shared" ca="1" si="422"/>
        <v>0.53887034234170883</v>
      </c>
      <c r="N950" s="304">
        <f t="shared" ca="1" si="423"/>
        <v>30.874996320949737</v>
      </c>
      <c r="P950" s="310">
        <f t="shared" ca="1" si="424"/>
        <v>23</v>
      </c>
      <c r="Q950" s="304">
        <f t="shared" ca="1" si="425"/>
        <v>0</v>
      </c>
      <c r="R950" s="306">
        <f t="shared" ca="1" si="426"/>
        <v>0</v>
      </c>
      <c r="S950" s="307">
        <f t="shared" ca="1" si="427"/>
        <v>15.089040186296437</v>
      </c>
      <c r="T950" s="304">
        <f t="shared" ca="1" si="407"/>
        <v>148.02348422756805</v>
      </c>
      <c r="U950" s="311">
        <f t="shared" ca="1" si="408"/>
        <v>0</v>
      </c>
      <c r="V950" s="306">
        <f t="shared" ca="1" si="409"/>
        <v>0.79936584157551416</v>
      </c>
      <c r="W950" s="304">
        <f t="shared" ca="1" si="410"/>
        <v>24.020995019293796</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-6.7543304726542281</v>
      </c>
      <c r="AH950" s="304">
        <f t="shared" ca="1" si="434"/>
        <v>-1.6224595961665511</v>
      </c>
    </row>
    <row r="951" spans="1:34" x14ac:dyDescent="0.2">
      <c r="A951" s="347">
        <f t="shared" ca="1" si="412"/>
        <v>0.1</v>
      </c>
      <c r="B951" s="304">
        <f t="shared" ca="1" si="413"/>
        <v>22.699999999999939</v>
      </c>
      <c r="D951" s="306">
        <f t="shared" ca="1" si="414"/>
        <v>-1.3663529222013739</v>
      </c>
      <c r="E951" s="307">
        <f t="shared" ca="1" si="415"/>
        <v>-10.626935717090923</v>
      </c>
      <c r="F951" s="304">
        <f t="shared" ca="1" si="416"/>
        <v>10.714414731714982</v>
      </c>
      <c r="G951" s="306">
        <f t="shared" ca="1" si="417"/>
        <v>61.486371683940114</v>
      </c>
      <c r="H951" s="307">
        <f t="shared" ca="1" si="418"/>
        <v>35.781400348228338</v>
      </c>
      <c r="I951" s="304">
        <f t="shared" ca="1" si="419"/>
        <v>71.139879910889846</v>
      </c>
      <c r="J951" s="306">
        <f t="shared" ca="1" si="420"/>
        <v>2068.8150542722206</v>
      </c>
      <c r="K951" s="307">
        <f t="shared" ca="1" si="421"/>
        <v>4208.7423241393899</v>
      </c>
      <c r="L951" s="304">
        <f t="shared" ca="1" si="406"/>
        <v>4689.7236250962169</v>
      </c>
      <c r="M951" s="306">
        <f t="shared" ca="1" si="422"/>
        <v>0.52703449018956305</v>
      </c>
      <c r="N951" s="304">
        <f t="shared" ca="1" si="423"/>
        <v>30.196851945690952</v>
      </c>
      <c r="P951" s="310">
        <f t="shared" ca="1" si="424"/>
        <v>23</v>
      </c>
      <c r="Q951" s="304">
        <f t="shared" ca="1" si="425"/>
        <v>0</v>
      </c>
      <c r="R951" s="306">
        <f t="shared" ca="1" si="426"/>
        <v>0</v>
      </c>
      <c r="S951" s="307">
        <f t="shared" ca="1" si="427"/>
        <v>15.089040186296437</v>
      </c>
      <c r="T951" s="304">
        <f t="shared" ca="1" si="407"/>
        <v>148.02348422756805</v>
      </c>
      <c r="U951" s="311">
        <f t="shared" ca="1" si="408"/>
        <v>0</v>
      </c>
      <c r="V951" s="306">
        <f t="shared" ca="1" si="409"/>
        <v>0.79906218976276078</v>
      </c>
      <c r="W951" s="304">
        <f t="shared" ca="1" si="410"/>
        <v>23.574011693374835</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-6.6261156183824008</v>
      </c>
      <c r="AH951" s="304">
        <f t="shared" ca="1" si="434"/>
        <v>-1.5919498339668536</v>
      </c>
    </row>
    <row r="952" spans="1:34" x14ac:dyDescent="0.2">
      <c r="A952" s="347">
        <f t="shared" ca="1" si="412"/>
        <v>0.1</v>
      </c>
      <c r="B952" s="304">
        <f t="shared" ca="1" si="413"/>
        <v>22.79999999999994</v>
      </c>
      <c r="D952" s="306">
        <f t="shared" ca="1" si="414"/>
        <v>-1.3503228529471312</v>
      </c>
      <c r="E952" s="307">
        <f t="shared" ca="1" si="415"/>
        <v>-10.595807346854444</v>
      </c>
      <c r="F952" s="304">
        <f t="shared" ca="1" si="416"/>
        <v>10.681502943820496</v>
      </c>
      <c r="G952" s="306">
        <f t="shared" ca="1" si="417"/>
        <v>61.351339398645401</v>
      </c>
      <c r="H952" s="307">
        <f t="shared" ca="1" si="418"/>
        <v>34.721819613542891</v>
      </c>
      <c r="I952" s="304">
        <f t="shared" ca="1" si="419"/>
        <v>70.495330365090084</v>
      </c>
      <c r="J952" s="306">
        <f t="shared" ca="1" si="420"/>
        <v>2074.9569398263498</v>
      </c>
      <c r="K952" s="307">
        <f t="shared" ca="1" si="421"/>
        <v>4212.2674851374786</v>
      </c>
      <c r="L952" s="304">
        <f t="shared" ca="1" si="406"/>
        <v>4695.5983291248358</v>
      </c>
      <c r="M952" s="306">
        <f t="shared" ca="1" si="422"/>
        <v>0.51500672705178174</v>
      </c>
      <c r="N952" s="304">
        <f t="shared" ca="1" si="423"/>
        <v>29.507711880913057</v>
      </c>
      <c r="P952" s="310">
        <f t="shared" ca="1" si="424"/>
        <v>23</v>
      </c>
      <c r="Q952" s="304">
        <f t="shared" ca="1" si="425"/>
        <v>0</v>
      </c>
      <c r="R952" s="306">
        <f t="shared" ca="1" si="426"/>
        <v>0</v>
      </c>
      <c r="S952" s="307">
        <f t="shared" ca="1" si="427"/>
        <v>15.089040186296437</v>
      </c>
      <c r="T952" s="304">
        <f t="shared" ca="1" si="407"/>
        <v>148.02348422756805</v>
      </c>
      <c r="U952" s="311">
        <f t="shared" ca="1" si="408"/>
        <v>0</v>
      </c>
      <c r="V952" s="306">
        <f t="shared" ca="1" si="409"/>
        <v>0.79876749844178319</v>
      </c>
      <c r="W952" s="304">
        <f t="shared" ca="1" si="410"/>
        <v>23.140233854045608</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-6.4964866134020269</v>
      </c>
      <c r="AH952" s="304">
        <f t="shared" ca="1" si="434"/>
        <v>-1.5623267883390144</v>
      </c>
    </row>
    <row r="953" spans="1:34" x14ac:dyDescent="0.2">
      <c r="A953" s="347">
        <f t="shared" ca="1" si="412"/>
        <v>0.1</v>
      </c>
      <c r="B953" s="304">
        <f t="shared" ca="1" si="413"/>
        <v>22.899999999999942</v>
      </c>
      <c r="D953" s="306">
        <f t="shared" ca="1" si="414"/>
        <v>-1.3346574862048715</v>
      </c>
      <c r="E953" s="307">
        <f t="shared" ca="1" si="415"/>
        <v>-10.565350036952793</v>
      </c>
      <c r="F953" s="304">
        <f t="shared" ca="1" si="416"/>
        <v>10.649316034789328</v>
      </c>
      <c r="G953" s="306">
        <f t="shared" ca="1" si="417"/>
        <v>61.217873650024913</v>
      </c>
      <c r="H953" s="307">
        <f t="shared" ca="1" si="418"/>
        <v>33.66528460984761</v>
      </c>
      <c r="I953" s="304">
        <f t="shared" ca="1" si="419"/>
        <v>69.864006770957943</v>
      </c>
      <c r="J953" s="306">
        <f t="shared" ca="1" si="420"/>
        <v>2081.0854004787834</v>
      </c>
      <c r="K953" s="307">
        <f t="shared" ca="1" si="421"/>
        <v>4215.6868403486478</v>
      </c>
      <c r="L953" s="304">
        <f t="shared" ca="1" si="406"/>
        <v>4701.375541261802</v>
      </c>
      <c r="M953" s="306">
        <f t="shared" ca="1" si="422"/>
        <v>0.50278619748072972</v>
      </c>
      <c r="N953" s="304">
        <f t="shared" ca="1" si="423"/>
        <v>28.807527113076958</v>
      </c>
      <c r="P953" s="310">
        <f t="shared" ca="1" si="424"/>
        <v>23</v>
      </c>
      <c r="Q953" s="304">
        <f t="shared" ca="1" si="425"/>
        <v>0</v>
      </c>
      <c r="R953" s="306">
        <f t="shared" ca="1" si="426"/>
        <v>0</v>
      </c>
      <c r="S953" s="307">
        <f t="shared" ca="1" si="427"/>
        <v>15.089040186296437</v>
      </c>
      <c r="T953" s="304">
        <f t="shared" ca="1" si="407"/>
        <v>148.02348422756805</v>
      </c>
      <c r="U953" s="311">
        <f t="shared" ca="1" si="408"/>
        <v>0</v>
      </c>
      <c r="V953" s="306">
        <f t="shared" ca="1" si="409"/>
        <v>0.79848173409458079</v>
      </c>
      <c r="W953" s="304">
        <f t="shared" ca="1" si="410"/>
        <v>22.719492304976423</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-6.3654032150805744</v>
      </c>
      <c r="AH953" s="304">
        <f t="shared" ca="1" si="434"/>
        <v>-1.5335789134593931</v>
      </c>
    </row>
    <row r="954" spans="1:34" x14ac:dyDescent="0.2">
      <c r="A954" s="347">
        <f t="shared" ca="1" si="412"/>
        <v>0.1</v>
      </c>
      <c r="B954" s="304">
        <f t="shared" ca="1" si="413"/>
        <v>22.999999999999943</v>
      </c>
      <c r="D954" s="306">
        <f t="shared" ca="1" si="414"/>
        <v>-1.319355277332064</v>
      </c>
      <c r="E954" s="307">
        <f t="shared" ca="1" si="415"/>
        <v>-10.535547430262147</v>
      </c>
      <c r="F954" s="304">
        <f t="shared" ca="1" si="416"/>
        <v>10.61783678548165</v>
      </c>
      <c r="G954" s="306">
        <f t="shared" ca="1" si="417"/>
        <v>61.085938122291708</v>
      </c>
      <c r="H954" s="307">
        <f t="shared" ca="1" si="418"/>
        <v>32.611729866821399</v>
      </c>
      <c r="I954" s="304">
        <f t="shared" ca="1" si="419"/>
        <v>69.246059535449248</v>
      </c>
      <c r="J954" s="306">
        <f t="shared" ca="1" si="420"/>
        <v>2087.2005910673993</v>
      </c>
      <c r="K954" s="307">
        <f t="shared" ca="1" si="421"/>
        <v>4219.0006910724815</v>
      </c>
      <c r="L954" s="304">
        <f t="shared" ca="1" si="406"/>
        <v>4707.0556761761563</v>
      </c>
      <c r="M954" s="306">
        <f t="shared" ca="1" si="422"/>
        <v>0.4903722515737346</v>
      </c>
      <c r="N954" s="304">
        <f t="shared" ca="1" si="423"/>
        <v>28.096260405502434</v>
      </c>
      <c r="P954" s="310">
        <f t="shared" ca="1" si="424"/>
        <v>23</v>
      </c>
      <c r="Q954" s="304">
        <f t="shared" ca="1" si="425"/>
        <v>0</v>
      </c>
      <c r="R954" s="306">
        <f t="shared" ca="1" si="426"/>
        <v>0</v>
      </c>
      <c r="S954" s="307">
        <f t="shared" ca="1" si="427"/>
        <v>15.089040186296437</v>
      </c>
      <c r="T954" s="304">
        <f t="shared" ca="1" si="407"/>
        <v>148.02348422756805</v>
      </c>
      <c r="U954" s="311">
        <f t="shared" ca="1" si="408"/>
        <v>0</v>
      </c>
      <c r="V954" s="306">
        <f t="shared" ca="1" si="409"/>
        <v>0.79820486402488933</v>
      </c>
      <c r="W954" s="304">
        <f t="shared" ca="1" si="410"/>
        <v>22.311622720103863</v>
      </c>
      <c r="Y954" s="314" t="str">
        <f t="shared" ca="1" si="428"/>
        <v/>
      </c>
      <c r="Z954" s="315" t="str">
        <f t="shared" ca="1" si="429"/>
        <v/>
      </c>
      <c r="AA954" s="316" t="str">
        <f t="shared" ca="1" si="430"/>
        <v/>
      </c>
      <c r="AC954" s="310">
        <f t="shared" ca="1" si="431"/>
        <v>22.999999999999943</v>
      </c>
      <c r="AD954" s="323">
        <f t="shared" ca="1" si="432"/>
        <v>2087.2005910673993</v>
      </c>
      <c r="AE954" s="324" t="e">
        <f t="shared" ca="1" si="411"/>
        <v>#N/A</v>
      </c>
      <c r="AG954" s="306">
        <f t="shared" ca="1" si="433"/>
        <v>-6.2328278544789368</v>
      </c>
      <c r="AH954" s="304">
        <f t="shared" ca="1" si="434"/>
        <v>-1.505694996134334</v>
      </c>
    </row>
    <row r="955" spans="1:34" x14ac:dyDescent="0.2">
      <c r="A955" s="347">
        <f t="shared" ca="1" si="412"/>
        <v>0.1</v>
      </c>
      <c r="B955" s="304">
        <f t="shared" ca="1" si="413"/>
        <v>23.099999999999945</v>
      </c>
      <c r="D955" s="306">
        <f t="shared" ca="1" si="414"/>
        <v>-1.304414823434374</v>
      </c>
      <c r="E955" s="307">
        <f t="shared" ca="1" si="415"/>
        <v>-10.506383245698174</v>
      </c>
      <c r="F955" s="304">
        <f t="shared" ca="1" si="416"/>
        <v>10.587048074750706</v>
      </c>
      <c r="G955" s="306">
        <f t="shared" ca="1" si="417"/>
        <v>60.955496639948272</v>
      </c>
      <c r="H955" s="307">
        <f t="shared" ca="1" si="418"/>
        <v>31.561091542251582</v>
      </c>
      <c r="I955" s="304">
        <f t="shared" ca="1" si="419"/>
        <v>68.641642389741293</v>
      </c>
      <c r="J955" s="306">
        <f t="shared" ca="1" si="420"/>
        <v>2093.3026628055113</v>
      </c>
      <c r="K955" s="307">
        <f t="shared" ca="1" si="421"/>
        <v>4222.2093321429347</v>
      </c>
      <c r="L955" s="304">
        <f t="shared" ca="1" si="406"/>
        <v>4712.6391419822858</v>
      </c>
      <c r="M955" s="306">
        <f t="shared" ca="1" si="422"/>
        <v>0.47776445973259374</v>
      </c>
      <c r="N955" s="304">
        <f t="shared" ca="1" si="423"/>
        <v>27.373887144025588</v>
      </c>
      <c r="P955" s="310">
        <f t="shared" ca="1" si="424"/>
        <v>23</v>
      </c>
      <c r="Q955" s="304">
        <f t="shared" ca="1" si="425"/>
        <v>0</v>
      </c>
      <c r="R955" s="306">
        <f t="shared" ca="1" si="426"/>
        <v>0</v>
      </c>
      <c r="S955" s="307">
        <f t="shared" ca="1" si="427"/>
        <v>15.089040186296437</v>
      </c>
      <c r="T955" s="304">
        <f t="shared" ca="1" si="407"/>
        <v>148.02348422756805</v>
      </c>
      <c r="U955" s="311">
        <f t="shared" ca="1" si="408"/>
        <v>0</v>
      </c>
      <c r="V955" s="306">
        <f t="shared" ca="1" si="409"/>
        <v>0.79793685634104705</v>
      </c>
      <c r="W955" s="304">
        <f t="shared" ca="1" si="410"/>
        <v>21.916465498861037</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-6.0987258814333556</v>
      </c>
      <c r="AH955" s="304">
        <f t="shared" ca="1" si="434"/>
        <v>-1.4786641459386416</v>
      </c>
    </row>
    <row r="956" spans="1:34" x14ac:dyDescent="0.2">
      <c r="A956" s="347">
        <f t="shared" ca="1" si="412"/>
        <v>0.1</v>
      </c>
      <c r="B956" s="304">
        <f t="shared" ca="1" si="413"/>
        <v>23.199999999999946</v>
      </c>
      <c r="D956" s="306">
        <f t="shared" ca="1" si="414"/>
        <v>-1.2898348551647181</v>
      </c>
      <c r="E956" s="307">
        <f t="shared" ca="1" si="415"/>
        <v>-10.477841264237382</v>
      </c>
      <c r="F956" s="304">
        <f t="shared" ca="1" si="416"/>
        <v>10.556932864812271</v>
      </c>
      <c r="G956" s="306">
        <f t="shared" ca="1" si="417"/>
        <v>60.826513154431801</v>
      </c>
      <c r="H956" s="307">
        <f t="shared" ca="1" si="418"/>
        <v>30.513307415827843</v>
      </c>
      <c r="I956" s="304">
        <f t="shared" ca="1" si="419"/>
        <v>68.050912058392569</v>
      </c>
      <c r="J956" s="306">
        <f t="shared" ca="1" si="420"/>
        <v>2099.3917632952302</v>
      </c>
      <c r="K956" s="307">
        <f t="shared" ca="1" si="421"/>
        <v>4225.3130520908389</v>
      </c>
      <c r="L956" s="304">
        <f t="shared" ca="1" si="406"/>
        <v>4718.1263403983849</v>
      </c>
      <c r="M956" s="306">
        <f t="shared" ca="1" si="422"/>
        <v>0.46496262761880325</v>
      </c>
      <c r="N956" s="304">
        <f t="shared" ca="1" si="423"/>
        <v>26.640396193870352</v>
      </c>
      <c r="P956" s="310">
        <f t="shared" ca="1" si="424"/>
        <v>23</v>
      </c>
      <c r="Q956" s="304">
        <f t="shared" ca="1" si="425"/>
        <v>0</v>
      </c>
      <c r="R956" s="306">
        <f t="shared" ca="1" si="426"/>
        <v>0</v>
      </c>
      <c r="S956" s="307">
        <f t="shared" ca="1" si="427"/>
        <v>15.089040186296437</v>
      </c>
      <c r="T956" s="304">
        <f t="shared" ca="1" si="407"/>
        <v>148.02348422756805</v>
      </c>
      <c r="U956" s="311">
        <f t="shared" ca="1" si="408"/>
        <v>0</v>
      </c>
      <c r="V956" s="306">
        <f t="shared" ca="1" si="409"/>
        <v>0.79767767993903838</v>
      </c>
      <c r="W956" s="304">
        <f t="shared" ca="1" si="410"/>
        <v>21.533865625240516</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-5.963065818877193</v>
      </c>
      <c r="AH956" s="304">
        <f t="shared" ca="1" si="434"/>
        <v>-1.4524757856212174</v>
      </c>
    </row>
    <row r="957" spans="1:34" x14ac:dyDescent="0.2">
      <c r="A957" s="347">
        <f t="shared" ca="1" si="412"/>
        <v>0.1</v>
      </c>
      <c r="B957" s="304">
        <f t="shared" ca="1" si="413"/>
        <v>23.299999999999947</v>
      </c>
      <c r="D957" s="306">
        <f t="shared" ca="1" si="414"/>
        <v>-1.2756142281864211</v>
      </c>
      <c r="E957" s="307">
        <f t="shared" ca="1" si="415"/>
        <v>-10.449905315463909</v>
      </c>
      <c r="F957" s="304">
        <f t="shared" ca="1" si="416"/>
        <v>10.527474187159639</v>
      </c>
      <c r="G957" s="306">
        <f t="shared" ca="1" si="417"/>
        <v>60.698951731613157</v>
      </c>
      <c r="H957" s="307">
        <f t="shared" ca="1" si="418"/>
        <v>29.468316884281453</v>
      </c>
      <c r="I957" s="304">
        <f t="shared" ca="1" si="419"/>
        <v>67.47402790192038</v>
      </c>
      <c r="J957" s="306">
        <f t="shared" ca="1" si="420"/>
        <v>2105.4680365395325</v>
      </c>
      <c r="K957" s="307">
        <f t="shared" ca="1" si="421"/>
        <v>4228.3121333058443</v>
      </c>
      <c r="L957" s="304">
        <f t="shared" ca="1" si="406"/>
        <v>4723.5176669036664</v>
      </c>
      <c r="M957" s="306">
        <f t="shared" ca="1" si="422"/>
        <v>0.45196681122227067</v>
      </c>
      <c r="N957" s="304">
        <f t="shared" ca="1" si="423"/>
        <v>25.89579076302212</v>
      </c>
      <c r="P957" s="310">
        <f t="shared" ca="1" si="424"/>
        <v>23</v>
      </c>
      <c r="Q957" s="304">
        <f t="shared" ca="1" si="425"/>
        <v>0</v>
      </c>
      <c r="R957" s="306">
        <f t="shared" ca="1" si="426"/>
        <v>0</v>
      </c>
      <c r="S957" s="307">
        <f t="shared" ca="1" si="427"/>
        <v>15.089040186296437</v>
      </c>
      <c r="T957" s="304">
        <f t="shared" ca="1" si="407"/>
        <v>148.02348422756805</v>
      </c>
      <c r="U957" s="311">
        <f t="shared" ca="1" si="408"/>
        <v>0</v>
      </c>
      <c r="V957" s="306">
        <f t="shared" ca="1" si="409"/>
        <v>0.79742730448570343</v>
      </c>
      <c r="W957" s="304">
        <f t="shared" ca="1" si="410"/>
        <v>21.163672530499987</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-5.8258196252773349</v>
      </c>
      <c r="AH957" s="304">
        <f t="shared" ca="1" si="434"/>
        <v>-1.427119641764699</v>
      </c>
    </row>
    <row r="958" spans="1:34" x14ac:dyDescent="0.2">
      <c r="A958" s="347">
        <f t="shared" ca="1" si="412"/>
        <v>0.1</v>
      </c>
      <c r="B958" s="304">
        <f t="shared" ca="1" si="413"/>
        <v>23.399999999999949</v>
      </c>
      <c r="D958" s="306">
        <f t="shared" ca="1" si="414"/>
        <v>-1.2617519142867397</v>
      </c>
      <c r="E958" s="307">
        <f t="shared" ca="1" si="415"/>
        <v>-10.42255926467978</v>
      </c>
      <c r="F958" s="304">
        <f t="shared" ca="1" si="416"/>
        <v>10.498655129061463</v>
      </c>
      <c r="G958" s="306">
        <f t="shared" ca="1" si="417"/>
        <v>60.572776540184485</v>
      </c>
      <c r="H958" s="307">
        <f t="shared" ca="1" si="418"/>
        <v>28.426060957813476</v>
      </c>
      <c r="I958" s="304">
        <f t="shared" ca="1" si="419"/>
        <v>66.911151532195674</v>
      </c>
      <c r="J958" s="306">
        <f t="shared" ca="1" si="420"/>
        <v>2111.5316229531222</v>
      </c>
      <c r="K958" s="307">
        <f t="shared" ca="1" si="421"/>
        <v>4231.206852197949</v>
      </c>
      <c r="L958" s="304">
        <f t="shared" ca="1" si="406"/>
        <v>4728.8135108944534</v>
      </c>
      <c r="M958" s="306">
        <f t="shared" ca="1" si="422"/>
        <v>0.43877733195103419</v>
      </c>
      <c r="N958" s="304">
        <f t="shared" ca="1" si="423"/>
        <v>25.140089266804985</v>
      </c>
      <c r="P958" s="310">
        <f t="shared" ca="1" si="424"/>
        <v>23</v>
      </c>
      <c r="Q958" s="304">
        <f t="shared" ca="1" si="425"/>
        <v>0</v>
      </c>
      <c r="R958" s="306">
        <f t="shared" ca="1" si="426"/>
        <v>0</v>
      </c>
      <c r="S958" s="307">
        <f t="shared" ca="1" si="427"/>
        <v>15.089040186296437</v>
      </c>
      <c r="T958" s="304">
        <f t="shared" ca="1" si="407"/>
        <v>148.02348422756805</v>
      </c>
      <c r="U958" s="311">
        <f t="shared" ca="1" si="408"/>
        <v>0</v>
      </c>
      <c r="V958" s="306">
        <f t="shared" ca="1" si="409"/>
        <v>0.79718570040209702</v>
      </c>
      <c r="W958" s="304">
        <f t="shared" ca="1" si="410"/>
        <v>20.805739959328886</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-5.6869629638403039</v>
      </c>
      <c r="AH958" s="304">
        <f t="shared" ca="1" si="434"/>
        <v>-1.4025857356865157</v>
      </c>
    </row>
    <row r="959" spans="1:34" x14ac:dyDescent="0.2">
      <c r="A959" s="347">
        <f t="shared" ca="1" si="412"/>
        <v>0.1</v>
      </c>
      <c r="B959" s="304">
        <f t="shared" ca="1" si="413"/>
        <v>23.49999999999995</v>
      </c>
      <c r="D959" s="306">
        <f t="shared" ca="1" si="414"/>
        <v>-1.2482469921298569</v>
      </c>
      <c r="E959" s="307">
        <f t="shared" ca="1" si="415"/>
        <v>-10.395787000619842</v>
      </c>
      <c r="F959" s="304">
        <f t="shared" ca="1" si="416"/>
        <v>10.470458820682966</v>
      </c>
      <c r="G959" s="306">
        <f t="shared" ca="1" si="417"/>
        <v>60.447951840971498</v>
      </c>
      <c r="H959" s="307">
        <f t="shared" ca="1" si="418"/>
        <v>27.386482257751492</v>
      </c>
      <c r="I959" s="304">
        <f t="shared" ca="1" si="419"/>
        <v>66.362446400223575</v>
      </c>
      <c r="J959" s="306">
        <f t="shared" ca="1" si="420"/>
        <v>2117.5826593721799</v>
      </c>
      <c r="K959" s="307">
        <f t="shared" ca="1" si="421"/>
        <v>4233.9974793587271</v>
      </c>
      <c r="L959" s="304">
        <f t="shared" ca="1" si="406"/>
        <v>4734.014255839309</v>
      </c>
      <c r="M959" s="306">
        <f t="shared" ca="1" si="422"/>
        <v>0.42539479163915012</v>
      </c>
      <c r="N959" s="304">
        <f t="shared" ca="1" si="423"/>
        <v>24.373326187770342</v>
      </c>
      <c r="P959" s="310">
        <f t="shared" ca="1" si="424"/>
        <v>23</v>
      </c>
      <c r="Q959" s="304">
        <f t="shared" ca="1" si="425"/>
        <v>0</v>
      </c>
      <c r="R959" s="306">
        <f t="shared" ca="1" si="426"/>
        <v>0</v>
      </c>
      <c r="S959" s="307">
        <f t="shared" ca="1" si="427"/>
        <v>15.089040186296437</v>
      </c>
      <c r="T959" s="304">
        <f t="shared" ca="1" si="407"/>
        <v>148.02348422756805</v>
      </c>
      <c r="U959" s="311">
        <f t="shared" ca="1" si="408"/>
        <v>0</v>
      </c>
      <c r="V959" s="306">
        <f t="shared" ca="1" si="409"/>
        <v>0.79695283884698265</v>
      </c>
      <c r="W959" s="304">
        <f t="shared" ca="1" si="410"/>
        <v>20.459925839301761</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-5.5464754769125637</v>
      </c>
      <c r="AH959" s="304">
        <f t="shared" ca="1" si="434"/>
        <v>-1.3788643745693143</v>
      </c>
    </row>
    <row r="960" spans="1:34" x14ac:dyDescent="0.2">
      <c r="A960" s="347">
        <f t="shared" ca="1" si="412"/>
        <v>0.1</v>
      </c>
      <c r="B960" s="304">
        <f t="shared" ca="1" si="413"/>
        <v>23.599999999999952</v>
      </c>
      <c r="D960" s="306">
        <f t="shared" ca="1" si="414"/>
        <v>-1.235098637641632</v>
      </c>
      <c r="E960" s="307">
        <f t="shared" ca="1" si="415"/>
        <v>-10.369572423815676</v>
      </c>
      <c r="F960" s="304">
        <f t="shared" ca="1" si="416"/>
        <v>10.442868422874183</v>
      </c>
      <c r="G960" s="306">
        <f t="shared" ca="1" si="417"/>
        <v>60.324441977207336</v>
      </c>
      <c r="H960" s="307">
        <f t="shared" ca="1" si="418"/>
        <v>26.349525015369924</v>
      </c>
      <c r="I960" s="304">
        <f t="shared" ca="1" si="419"/>
        <v>65.828077356072455</v>
      </c>
      <c r="J960" s="306">
        <f t="shared" ca="1" si="420"/>
        <v>2123.6212790630889</v>
      </c>
      <c r="K960" s="307">
        <f t="shared" ca="1" si="421"/>
        <v>4236.6842797223835</v>
      </c>
      <c r="L960" s="304">
        <f t="shared" ca="1" si="406"/>
        <v>4739.1202794333385</v>
      </c>
      <c r="M960" s="306">
        <f t="shared" ca="1" si="422"/>
        <v>0.41182008735962006</v>
      </c>
      <c r="N960" s="304">
        <f t="shared" ca="1" si="423"/>
        <v>23.595552924415092</v>
      </c>
      <c r="P960" s="310">
        <f t="shared" ca="1" si="424"/>
        <v>23</v>
      </c>
      <c r="Q960" s="304">
        <f t="shared" ca="1" si="425"/>
        <v>0</v>
      </c>
      <c r="R960" s="306">
        <f t="shared" ca="1" si="426"/>
        <v>0</v>
      </c>
      <c r="S960" s="307">
        <f t="shared" ca="1" si="427"/>
        <v>15.089040186296437</v>
      </c>
      <c r="T960" s="304">
        <f t="shared" ca="1" si="407"/>
        <v>148.02348422756805</v>
      </c>
      <c r="U960" s="311">
        <f t="shared" ca="1" si="408"/>
        <v>0</v>
      </c>
      <c r="V960" s="306">
        <f t="shared" ca="1" si="409"/>
        <v>0.79672869170045013</v>
      </c>
      <c r="W960" s="304">
        <f t="shared" ca="1" si="410"/>
        <v>20.126092153452749</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-5.4043410637601168</v>
      </c>
      <c r="AH960" s="304">
        <f t="shared" ca="1" si="434"/>
        <v>-1.3559461428092063</v>
      </c>
    </row>
    <row r="961" spans="1:34" x14ac:dyDescent="0.2">
      <c r="A961" s="347">
        <f t="shared" ca="1" si="412"/>
        <v>0.1</v>
      </c>
      <c r="B961" s="304">
        <f t="shared" ca="1" si="413"/>
        <v>23.699999999999953</v>
      </c>
      <c r="D961" s="306">
        <f t="shared" ca="1" si="414"/>
        <v>-1.2223061140220572</v>
      </c>
      <c r="E961" s="307">
        <f t="shared" ca="1" si="415"/>
        <v>-10.343899435655498</v>
      </c>
      <c r="F961" s="304">
        <f t="shared" ca="1" si="416"/>
        <v>10.41586711567164</v>
      </c>
      <c r="G961" s="306">
        <f t="shared" ca="1" si="417"/>
        <v>60.202211365805127</v>
      </c>
      <c r="H961" s="307">
        <f t="shared" ca="1" si="418"/>
        <v>25.315135071804374</v>
      </c>
      <c r="I961" s="304">
        <f t="shared" ca="1" si="419"/>
        <v>65.308210180931894</v>
      </c>
      <c r="J961" s="306">
        <f t="shared" ca="1" si="420"/>
        <v>2129.6476117302395</v>
      </c>
      <c r="K961" s="307">
        <f t="shared" ca="1" si="421"/>
        <v>4239.2675127267421</v>
      </c>
      <c r="L961" s="304">
        <f t="shared" ca="1" si="406"/>
        <v>4744.1319537517811</v>
      </c>
      <c r="M961" s="306">
        <f t="shared" ca="1" si="422"/>
        <v>0.39805442591916451</v>
      </c>
      <c r="N961" s="304">
        <f t="shared" ca="1" si="423"/>
        <v>22.806838621671012</v>
      </c>
      <c r="P961" s="310">
        <f t="shared" ca="1" si="424"/>
        <v>23</v>
      </c>
      <c r="Q961" s="304">
        <f t="shared" ca="1" si="425"/>
        <v>0</v>
      </c>
      <c r="R961" s="306">
        <f t="shared" ca="1" si="426"/>
        <v>0</v>
      </c>
      <c r="S961" s="307">
        <f t="shared" ca="1" si="427"/>
        <v>15.089040186296437</v>
      </c>
      <c r="T961" s="304">
        <f t="shared" ca="1" si="407"/>
        <v>148.02348422756805</v>
      </c>
      <c r="U961" s="311">
        <f t="shared" ca="1" si="408"/>
        <v>0</v>
      </c>
      <c r="V961" s="306">
        <f t="shared" ca="1" si="409"/>
        <v>0.79651323154764153</v>
      </c>
      <c r="W961" s="304">
        <f t="shared" ca="1" si="410"/>
        <v>19.804104815812391</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-5.260548159668228</v>
      </c>
      <c r="AH961" s="304">
        <f t="shared" ca="1" si="434"/>
        <v>-1.3338218935708623</v>
      </c>
    </row>
    <row r="962" spans="1:34" x14ac:dyDescent="0.2">
      <c r="A962" s="347">
        <f t="shared" ca="1" si="412"/>
        <v>0.1</v>
      </c>
      <c r="B962" s="304">
        <f t="shared" ca="1" si="413"/>
        <v>23.799999999999955</v>
      </c>
      <c r="D962" s="306">
        <f t="shared" ca="1" si="414"/>
        <v>-1.2098687613853139</v>
      </c>
      <c r="E962" s="307">
        <f t="shared" ca="1" si="415"/>
        <v>-10.318751928189512</v>
      </c>
      <c r="F962" s="304">
        <f t="shared" ca="1" si="416"/>
        <v>10.389438087562331</v>
      </c>
      <c r="G962" s="306">
        <f t="shared" ca="1" si="417"/>
        <v>60.081224489666596</v>
      </c>
      <c r="H962" s="307">
        <f t="shared" ca="1" si="418"/>
        <v>24.283259878985422</v>
      </c>
      <c r="I962" s="304">
        <f t="shared" ca="1" si="419"/>
        <v>64.803011091523018</v>
      </c>
      <c r="J962" s="306">
        <f t="shared" ca="1" si="420"/>
        <v>2135.6617835230131</v>
      </c>
      <c r="K962" s="307">
        <f t="shared" ca="1" si="421"/>
        <v>4241.7474324742816</v>
      </c>
      <c r="L962" s="304">
        <f t="shared" ca="1" si="406"/>
        <v>4749.0496454030526</v>
      </c>
      <c r="M962" s="306">
        <f t="shared" ca="1" si="422"/>
        <v>0.38409933790204254</v>
      </c>
      <c r="N962" s="304">
        <f t="shared" ca="1" si="423"/>
        <v>22.007270975556334</v>
      </c>
      <c r="P962" s="310">
        <f t="shared" ca="1" si="424"/>
        <v>23</v>
      </c>
      <c r="Q962" s="304">
        <f t="shared" ca="1" si="425"/>
        <v>0</v>
      </c>
      <c r="R962" s="306">
        <f t="shared" ca="1" si="426"/>
        <v>0</v>
      </c>
      <c r="S962" s="307">
        <f t="shared" ca="1" si="427"/>
        <v>15.089040186296437</v>
      </c>
      <c r="T962" s="304">
        <f t="shared" ca="1" si="407"/>
        <v>148.02348422756805</v>
      </c>
      <c r="U962" s="311">
        <f t="shared" ca="1" si="408"/>
        <v>0</v>
      </c>
      <c r="V962" s="306">
        <f t="shared" ca="1" si="409"/>
        <v>0.79630643166257598</v>
      </c>
      <c r="W962" s="304">
        <f t="shared" ca="1" si="410"/>
        <v>19.493833549756168</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-5.1150900140561184</v>
      </c>
      <c r="AH962" s="304">
        <f t="shared" ca="1" si="434"/>
        <v>-1.3124827405389297</v>
      </c>
    </row>
    <row r="963" spans="1:34" x14ac:dyDescent="0.2">
      <c r="A963" s="347">
        <f t="shared" ca="1" si="412"/>
        <v>0.1</v>
      </c>
      <c r="B963" s="304">
        <f t="shared" ca="1" si="413"/>
        <v>23.899999999999956</v>
      </c>
      <c r="D963" s="306">
        <f t="shared" ca="1" si="414"/>
        <v>-1.1977859860317632</v>
      </c>
      <c r="E963" s="307">
        <f t="shared" ca="1" si="415"/>
        <v>-10.294113774732049</v>
      </c>
      <c r="F963" s="304">
        <f t="shared" ca="1" si="416"/>
        <v>10.363564525560797</v>
      </c>
      <c r="G963" s="306">
        <f t="shared" ca="1" si="417"/>
        <v>59.96144589106342</v>
      </c>
      <c r="H963" s="307">
        <f t="shared" ca="1" si="418"/>
        <v>23.253848501512216</v>
      </c>
      <c r="I963" s="304">
        <f t="shared" ca="1" si="419"/>
        <v>64.312646217351443</v>
      </c>
      <c r="J963" s="306">
        <f t="shared" ca="1" si="420"/>
        <v>2141.6639170420494</v>
      </c>
      <c r="K963" s="307">
        <f t="shared" ca="1" si="421"/>
        <v>4244.1242878933062</v>
      </c>
      <c r="L963" s="304">
        <f t="shared" ca="1" si="406"/>
        <v>4753.873715681324</v>
      </c>
      <c r="M963" s="306">
        <f t="shared" ca="1" si="422"/>
        <v>0.36995669112117852</v>
      </c>
      <c r="N963" s="304">
        <f t="shared" ca="1" si="423"/>
        <v>21.196957003868544</v>
      </c>
      <c r="P963" s="310">
        <f t="shared" ca="1" si="424"/>
        <v>23</v>
      </c>
      <c r="Q963" s="304">
        <f t="shared" ca="1" si="425"/>
        <v>0</v>
      </c>
      <c r="R963" s="306">
        <f t="shared" ca="1" si="426"/>
        <v>0</v>
      </c>
      <c r="S963" s="307">
        <f t="shared" ca="1" si="427"/>
        <v>15.089040186296437</v>
      </c>
      <c r="T963" s="304">
        <f t="shared" ca="1" si="407"/>
        <v>148.02348422756805</v>
      </c>
      <c r="U963" s="311">
        <f t="shared" ca="1" si="408"/>
        <v>0</v>
      </c>
      <c r="V963" s="306">
        <f t="shared" ca="1" si="409"/>
        <v>0.79610826599205908</v>
      </c>
      <c r="W963" s="304">
        <f t="shared" ca="1" si="410"/>
        <v>19.195151769021564</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-4.9679649650589504</v>
      </c>
      <c r="AH963" s="304">
        <f t="shared" ca="1" si="434"/>
        <v>-1.2919200498557937</v>
      </c>
    </row>
    <row r="964" spans="1:34" x14ac:dyDescent="0.2">
      <c r="A964" s="347">
        <f t="shared" ca="1" si="412"/>
        <v>0.1</v>
      </c>
      <c r="B964" s="304">
        <f t="shared" ca="1" si="413"/>
        <v>23.999999999999957</v>
      </c>
      <c r="D964" s="306">
        <f t="shared" ca="1" si="414"/>
        <v>-1.1860572493609514</v>
      </c>
      <c r="E964" s="307">
        <f t="shared" ca="1" si="415"/>
        <v>-10.269968821313403</v>
      </c>
      <c r="F964" s="304">
        <f t="shared" ca="1" si="416"/>
        <v>10.338229606151678</v>
      </c>
      <c r="G964" s="306">
        <f t="shared" ca="1" si="417"/>
        <v>59.842840166127324</v>
      </c>
      <c r="H964" s="307">
        <f t="shared" ca="1" si="418"/>
        <v>22.226851619380877</v>
      </c>
      <c r="I964" s="304">
        <f t="shared" ca="1" si="419"/>
        <v>63.837281051581726</v>
      </c>
      <c r="J964" s="306">
        <f t="shared" ca="1" si="420"/>
        <v>2147.6541313449088</v>
      </c>
      <c r="K964" s="307">
        <f t="shared" ca="1" si="421"/>
        <v>4246.3983228993511</v>
      </c>
      <c r="L964" s="304">
        <f t="shared" ref="L964:L1004" ca="1" si="435">SQRT(pos_x^2+pos_z^2)</f>
        <v>4758.6045207187872</v>
      </c>
      <c r="M964" s="306">
        <f t="shared" ca="1" si="422"/>
        <v>0.35562870332685148</v>
      </c>
      <c r="N964" s="304">
        <f t="shared" ca="1" si="423"/>
        <v>20.376023774338648</v>
      </c>
      <c r="P964" s="310">
        <f t="shared" ca="1" si="424"/>
        <v>23</v>
      </c>
      <c r="Q964" s="304">
        <f t="shared" ca="1" si="425"/>
        <v>0</v>
      </c>
      <c r="R964" s="306">
        <f t="shared" ca="1" si="426"/>
        <v>0</v>
      </c>
      <c r="S964" s="307">
        <f t="shared" ca="1" si="427"/>
        <v>15.089040186296437</v>
      </c>
      <c r="T964" s="304">
        <f t="shared" ref="T964:T1004" ca="1" si="436">m*g</f>
        <v>148.02348422756805</v>
      </c>
      <c r="U964" s="311">
        <f t="shared" ref="U964:U1004" ca="1" si="437">IF(pos_xz&lt;L_rampe,Poids*COS(Beta),0)</f>
        <v>0</v>
      </c>
      <c r="V964" s="306">
        <f t="shared" ref="V964:V1004" ca="1" si="438">Rho_moyen*(20000-Alt_rampe-pos_z)/(20000+Alt_rampe+pos_z)</f>
        <v>0.79591870913966933</v>
      </c>
      <c r="W964" s="304">
        <f t="shared" ref="W964:W1003" ca="1" si="439">1/2*Rho*Sref*Cx*vit_xz^2</f>
        <v>18.907936461257609</v>
      </c>
      <c r="Y964" s="314" t="str">
        <f t="shared" ca="1" si="428"/>
        <v/>
      </c>
      <c r="Z964" s="315" t="str">
        <f t="shared" ca="1" si="429"/>
        <v/>
      </c>
      <c r="AA964" s="316" t="str">
        <f t="shared" ca="1" si="430"/>
        <v/>
      </c>
      <c r="AC964" s="310">
        <f t="shared" ca="1" si="431"/>
        <v>23.999999999999957</v>
      </c>
      <c r="AD964" s="323">
        <f t="shared" ca="1" si="432"/>
        <v>2147.6541313449088</v>
      </c>
      <c r="AE964" s="324" t="e">
        <f t="shared" ref="AE964:AE1004" ca="1" si="440">IF(t&lt;T_para, pos_z, NA())</f>
        <v>#N/A</v>
      </c>
      <c r="AG964" s="306">
        <f t="shared" ca="1" si="433"/>
        <v>-4.8191767077952461</v>
      </c>
      <c r="AH964" s="304">
        <f t="shared" ca="1" si="434"/>
        <v>-1.2721254322361879</v>
      </c>
    </row>
    <row r="965" spans="1:34" x14ac:dyDescent="0.2">
      <c r="A965" s="347">
        <f t="shared" ref="A965:A1004" ca="1" si="441">IF(B964+0.01&lt;=T_ini+ROUNDUP(Temps_fin_propu,0), 0.01, IF(K964&gt;0, 0.1, 0.0001))</f>
        <v>0.1</v>
      </c>
      <c r="B965" s="304">
        <f t="shared" ref="B965:B1004" ca="1" si="442">B964+pas</f>
        <v>24.099999999999959</v>
      </c>
      <c r="D965" s="306">
        <f t="shared" ref="D965:D1004" ca="1" si="443">IF(AND(L964&lt;L_rampe,Poussee&lt;Poids*SIN(M964)),0,(-W964+Poussee)/m*COS(M964)-U964/m*SIN(M964))</f>
        <v>-1.1746820564398288</v>
      </c>
      <c r="E965" s="307">
        <f t="shared" ref="E965:E1004" ca="1" si="444">IF(AND(L964&lt;L_rampe,Poussee&lt;Poids*SIN(M964)),0,(-W964+Poussee)/m*SIN(M964)+U964/m*COS(M964)-Poids/m)</f>
        <v>-10.246300879035083</v>
      </c>
      <c r="F965" s="304">
        <f t="shared" ref="F965:F1004" ca="1" si="445">SQRT(acc_x^2+acc_z^2)</f>
        <v>10.313416487150938</v>
      </c>
      <c r="G965" s="306">
        <f t="shared" ref="G965:G1004" ca="1" si="446">G964+acc_x*pas</f>
        <v>59.725371960483344</v>
      </c>
      <c r="H965" s="307">
        <f t="shared" ref="H965:H1004" ca="1" si="447">H964+acc_z*pas</f>
        <v>21.20222153147737</v>
      </c>
      <c r="I965" s="304">
        <f t="shared" ref="I965:I1004" ca="1" si="448">SQRT(vit_x^2+vit_z^2)</f>
        <v>63.377079876623633</v>
      </c>
      <c r="J965" s="306">
        <f t="shared" ref="J965:J1004" ca="1" si="449">J964+0.5*(vit_x+G964)*pas*(K964&gt;=0)</f>
        <v>2153.6325419512395</v>
      </c>
      <c r="K965" s="307">
        <f t="shared" ref="K965:K1004" ca="1" si="450">K964+0.5*(vit_z+H964)*pas</f>
        <v>4248.5697765568939</v>
      </c>
      <c r="L965" s="304">
        <f t="shared" ca="1" si="435"/>
        <v>4763.2424116376915</v>
      </c>
      <c r="M965" s="306">
        <f t="shared" ref="M965:M1004" ca="1" si="451">IF(AND(L964&gt;L_rampe,G965&gt;0),ATAN2(G965,H965),$M$4)</f>
        <v>0.34111795401638129</v>
      </c>
      <c r="N965" s="304">
        <f t="shared" ref="N965:N1004" ca="1" si="452">DEGREES(Beta)</f>
        <v>19.544619081276338</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15.089040186296437</v>
      </c>
      <c r="T965" s="304">
        <f t="shared" ca="1" si="436"/>
        <v>148.02348422756805</v>
      </c>
      <c r="U965" s="311">
        <f t="shared" ca="1" si="437"/>
        <v>0</v>
      </c>
      <c r="V965" s="306">
        <f t="shared" ca="1" si="438"/>
        <v>0.79573773634981027</v>
      </c>
      <c r="W965" s="304">
        <f t="shared" ca="1" si="439"/>
        <v>18.632068073978921</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-4.668734553317984</v>
      </c>
      <c r="AH965" s="304">
        <f t="shared" ref="AH965:AH1004" ca="1" si="463">IF(AND(L964&lt;L_rampe,Poussee&lt;Poids*SIN(M964)), g*SIN(M964), (-W964+Poussee)/m)</f>
        <v>-1.2530907352496428</v>
      </c>
    </row>
    <row r="966" spans="1:34" x14ac:dyDescent="0.2">
      <c r="A966" s="347">
        <f t="shared" ca="1" si="441"/>
        <v>0.1</v>
      </c>
      <c r="B966" s="304">
        <f t="shared" ca="1" si="442"/>
        <v>24.19999999999996</v>
      </c>
      <c r="D966" s="306">
        <f t="shared" ca="1" si="443"/>
        <v>-1.1636599442458466</v>
      </c>
      <c r="E966" s="307">
        <f t="shared" ca="1" si="444"/>
        <v>-10.223093717382474</v>
      </c>
      <c r="F966" s="304">
        <f t="shared" ca="1" si="445"/>
        <v>10.289108300539326</v>
      </c>
      <c r="G966" s="306">
        <f t="shared" ca="1" si="446"/>
        <v>59.60900596605876</v>
      </c>
      <c r="H966" s="307">
        <f t="shared" ca="1" si="447"/>
        <v>20.179912159739121</v>
      </c>
      <c r="I966" s="304">
        <f t="shared" ca="1" si="448"/>
        <v>62.932205165848238</v>
      </c>
      <c r="J966" s="306">
        <f t="shared" ca="1" si="449"/>
        <v>2159.5992608475667</v>
      </c>
      <c r="K966" s="307">
        <f t="shared" ca="1" si="450"/>
        <v>4250.638883241455</v>
      </c>
      <c r="L966" s="304">
        <f t="shared" ca="1" si="435"/>
        <v>4767.7877347022823</v>
      </c>
      <c r="M966" s="306">
        <f t="shared" ca="1" si="451"/>
        <v>0.32642739518289721</v>
      </c>
      <c r="N966" s="304">
        <f t="shared" ca="1" si="452"/>
        <v>18.702912061429068</v>
      </c>
      <c r="P966" s="310">
        <f t="shared" ca="1" si="453"/>
        <v>23</v>
      </c>
      <c r="Q966" s="304">
        <f t="shared" ca="1" si="454"/>
        <v>0</v>
      </c>
      <c r="R966" s="306">
        <f t="shared" ca="1" si="455"/>
        <v>0</v>
      </c>
      <c r="S966" s="307">
        <f t="shared" ca="1" si="456"/>
        <v>15.089040186296437</v>
      </c>
      <c r="T966" s="304">
        <f t="shared" ca="1" si="436"/>
        <v>148.02348422756805</v>
      </c>
      <c r="U966" s="311">
        <f t="shared" ca="1" si="437"/>
        <v>0</v>
      </c>
      <c r="V966" s="306">
        <f t="shared" ca="1" si="438"/>
        <v>0.79556532349181674</v>
      </c>
      <c r="W966" s="304">
        <f t="shared" ca="1" si="439"/>
        <v>18.367430402802778</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-4.516653675048528</v>
      </c>
      <c r="AH966" s="304">
        <f t="shared" ca="1" si="463"/>
        <v>-1.2348080357622873</v>
      </c>
    </row>
    <row r="967" spans="1:34" x14ac:dyDescent="0.2">
      <c r="A967" s="347">
        <f t="shared" ca="1" si="441"/>
        <v>0.1</v>
      </c>
      <c r="B967" s="304">
        <f t="shared" ca="1" si="442"/>
        <v>24.299999999999962</v>
      </c>
      <c r="D967" s="306">
        <f t="shared" ca="1" si="443"/>
        <v>-1.152990469610254</v>
      </c>
      <c r="E967" s="307">
        <f t="shared" ca="1" si="444"/>
        <v>-10.200331058548429</v>
      </c>
      <c r="F967" s="304">
        <f t="shared" ca="1" si="445"/>
        <v>10.265288146321065</v>
      </c>
      <c r="G967" s="306">
        <f t="shared" ca="1" si="446"/>
        <v>59.493706919097733</v>
      </c>
      <c r="H967" s="307">
        <f t="shared" ca="1" si="447"/>
        <v>19.159879053884278</v>
      </c>
      <c r="I967" s="304">
        <f t="shared" ca="1" si="448"/>
        <v>62.50281696319751</v>
      </c>
      <c r="J967" s="306">
        <f t="shared" ca="1" si="449"/>
        <v>2165.5543964918247</v>
      </c>
      <c r="K967" s="307">
        <f t="shared" ca="1" si="450"/>
        <v>4252.6058728021362</v>
      </c>
      <c r="L967" s="304">
        <f t="shared" ca="1" si="435"/>
        <v>4772.2408314707136</v>
      </c>
      <c r="M967" s="306">
        <f t="shared" ca="1" si="451"/>
        <v>0.31156036083767163</v>
      </c>
      <c r="N967" s="304">
        <f t="shared" ca="1" si="452"/>
        <v>17.851093739571603</v>
      </c>
      <c r="P967" s="310">
        <f t="shared" ca="1" si="453"/>
        <v>23</v>
      </c>
      <c r="Q967" s="304">
        <f t="shared" ca="1" si="454"/>
        <v>0</v>
      </c>
      <c r="R967" s="306">
        <f t="shared" ca="1" si="455"/>
        <v>0</v>
      </c>
      <c r="S967" s="307">
        <f t="shared" ca="1" si="456"/>
        <v>15.089040186296437</v>
      </c>
      <c r="T967" s="304">
        <f t="shared" ca="1" si="436"/>
        <v>148.02348422756805</v>
      </c>
      <c r="U967" s="311">
        <f t="shared" ca="1" si="437"/>
        <v>0</v>
      </c>
      <c r="V967" s="306">
        <f t="shared" ca="1" si="438"/>
        <v>0.79540144704411342</v>
      </c>
      <c r="W967" s="304">
        <f t="shared" ca="1" si="439"/>
        <v>18.113910481856134</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-4.3629553393208473</v>
      </c>
      <c r="AH967" s="304">
        <f t="shared" ca="1" si="463"/>
        <v>-1.2172696325299543</v>
      </c>
    </row>
    <row r="968" spans="1:34" x14ac:dyDescent="0.2">
      <c r="A968" s="347">
        <f t="shared" ca="1" si="441"/>
        <v>0.1</v>
      </c>
      <c r="B968" s="304">
        <f t="shared" ca="1" si="442"/>
        <v>24.399999999999963</v>
      </c>
      <c r="D968" s="306">
        <f t="shared" ca="1" si="443"/>
        <v>-1.1426731968928985</v>
      </c>
      <c r="E968" s="307">
        <f t="shared" ca="1" si="444"/>
        <v>-10.177996572819962</v>
      </c>
      <c r="F968" s="304">
        <f t="shared" ca="1" si="445"/>
        <v>10.241939087459578</v>
      </c>
      <c r="G968" s="306">
        <f t="shared" ca="1" si="446"/>
        <v>59.379439599408443</v>
      </c>
      <c r="H968" s="307">
        <f t="shared" ca="1" si="447"/>
        <v>18.142079396602281</v>
      </c>
      <c r="I968" s="304">
        <f t="shared" ca="1" si="448"/>
        <v>62.089072242806274</v>
      </c>
      <c r="J968" s="306">
        <f t="shared" ca="1" si="449"/>
        <v>2171.4980538177501</v>
      </c>
      <c r="K968" s="307">
        <f t="shared" ca="1" si="450"/>
        <v>4254.4709707246602</v>
      </c>
      <c r="L968" s="304">
        <f t="shared" ca="1" si="435"/>
        <v>4776.6020389470496</v>
      </c>
      <c r="M968" s="306">
        <f t="shared" ca="1" si="451"/>
        <v>0.29652057513892227</v>
      </c>
      <c r="N968" s="304">
        <f t="shared" ca="1" si="452"/>
        <v>16.98937749425205</v>
      </c>
      <c r="P968" s="310">
        <f t="shared" ca="1" si="453"/>
        <v>23</v>
      </c>
      <c r="Q968" s="304">
        <f t="shared" ca="1" si="454"/>
        <v>0</v>
      </c>
      <c r="R968" s="306">
        <f t="shared" ca="1" si="455"/>
        <v>0</v>
      </c>
      <c r="S968" s="307">
        <f t="shared" ca="1" si="456"/>
        <v>15.089040186296437</v>
      </c>
      <c r="T968" s="304">
        <f t="shared" ca="1" si="436"/>
        <v>148.02348422756805</v>
      </c>
      <c r="U968" s="311">
        <f t="shared" ca="1" si="437"/>
        <v>0</v>
      </c>
      <c r="V968" s="306">
        <f t="shared" ca="1" si="438"/>
        <v>0.79524608407841146</v>
      </c>
      <c r="W968" s="304">
        <f t="shared" ca="1" si="439"/>
        <v>17.871398476245997</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-4.2076671165267054</v>
      </c>
      <c r="AH968" s="304">
        <f t="shared" ca="1" si="463"/>
        <v>-1.2004680389350957</v>
      </c>
    </row>
    <row r="969" spans="1:34" x14ac:dyDescent="0.2">
      <c r="A969" s="347">
        <f t="shared" ca="1" si="441"/>
        <v>0.1</v>
      </c>
      <c r="B969" s="304">
        <f t="shared" ca="1" si="442"/>
        <v>24.499999999999964</v>
      </c>
      <c r="D969" s="306">
        <f t="shared" ca="1" si="443"/>
        <v>-1.1327076854258509</v>
      </c>
      <c r="E969" s="307">
        <f t="shared" ca="1" si="444"/>
        <v>-10.156073875078169</v>
      </c>
      <c r="F969" s="304">
        <f t="shared" ca="1" si="445"/>
        <v>10.219044145939877</v>
      </c>
      <c r="G969" s="306">
        <f t="shared" ca="1" si="446"/>
        <v>59.266168830865858</v>
      </c>
      <c r="H969" s="307">
        <f t="shared" ca="1" si="447"/>
        <v>17.126472009094464</v>
      </c>
      <c r="I969" s="304">
        <f t="shared" ca="1" si="448"/>
        <v>61.691124251118914</v>
      </c>
      <c r="J969" s="306">
        <f t="shared" ca="1" si="449"/>
        <v>2177.4303342392636</v>
      </c>
      <c r="K969" s="307">
        <f t="shared" ca="1" si="450"/>
        <v>4256.2343982949451</v>
      </c>
      <c r="L969" s="304">
        <f t="shared" ca="1" si="435"/>
        <v>4780.8716897334152</v>
      </c>
      <c r="M969" s="306">
        <f t="shared" ca="1" si="451"/>
        <v>0.28131215896070783</v>
      </c>
      <c r="N969" s="304">
        <f t="shared" ca="1" si="452"/>
        <v>16.117999434161881</v>
      </c>
      <c r="P969" s="310">
        <f t="shared" ca="1" si="453"/>
        <v>23</v>
      </c>
      <c r="Q969" s="304">
        <f t="shared" ca="1" si="454"/>
        <v>0</v>
      </c>
      <c r="R969" s="306">
        <f t="shared" ca="1" si="455"/>
        <v>0</v>
      </c>
      <c r="S969" s="307">
        <f t="shared" ca="1" si="456"/>
        <v>15.089040186296437</v>
      </c>
      <c r="T969" s="304">
        <f t="shared" ca="1" si="436"/>
        <v>148.02348422756805</v>
      </c>
      <c r="U969" s="311">
        <f t="shared" ca="1" si="437"/>
        <v>0</v>
      </c>
      <c r="V969" s="306">
        <f t="shared" ca="1" si="438"/>
        <v>0.79509921224394087</v>
      </c>
      <c r="W969" s="304">
        <f t="shared" ca="1" si="439"/>
        <v>17.639787576494452</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-4.05082306925752</v>
      </c>
      <c r="AH969" s="304">
        <f t="shared" ca="1" si="463"/>
        <v>-1.1843959758604421</v>
      </c>
    </row>
    <row r="970" spans="1:34" x14ac:dyDescent="0.2">
      <c r="A970" s="347">
        <f t="shared" ca="1" si="441"/>
        <v>0.1</v>
      </c>
      <c r="B970" s="304">
        <f t="shared" ca="1" si="442"/>
        <v>24.599999999999966</v>
      </c>
      <c r="D970" s="306">
        <f t="shared" ca="1" si="443"/>
        <v>-1.1230934767693244</v>
      </c>
      <c r="E970" s="307">
        <f t="shared" ca="1" si="444"/>
        <v>-10.134546522458342</v>
      </c>
      <c r="F970" s="304">
        <f t="shared" ca="1" si="445"/>
        <v>10.196586300004245</v>
      </c>
      <c r="G970" s="306">
        <f t="shared" ca="1" si="446"/>
        <v>59.153859483188924</v>
      </c>
      <c r="H970" s="307">
        <f t="shared" ca="1" si="447"/>
        <v>16.11301735684863</v>
      </c>
      <c r="I970" s="304">
        <f t="shared" ca="1" si="448"/>
        <v>61.309121834348311</v>
      </c>
      <c r="J970" s="306">
        <f t="shared" ca="1" si="449"/>
        <v>2183.3513356549665</v>
      </c>
      <c r="K970" s="307">
        <f t="shared" ca="1" si="450"/>
        <v>4257.8963727632427</v>
      </c>
      <c r="L970" s="304">
        <f t="shared" ca="1" si="435"/>
        <v>4785.05011218239</v>
      </c>
      <c r="M970" s="306">
        <f t="shared" ca="1" si="451"/>
        <v>0.26593963473879684</v>
      </c>
      <c r="N970" s="304">
        <f t="shared" ca="1" si="452"/>
        <v>15.237218675783751</v>
      </c>
      <c r="P970" s="310">
        <f t="shared" ca="1" si="453"/>
        <v>23</v>
      </c>
      <c r="Q970" s="304">
        <f t="shared" ca="1" si="454"/>
        <v>0</v>
      </c>
      <c r="R970" s="306">
        <f t="shared" ca="1" si="455"/>
        <v>0</v>
      </c>
      <c r="S970" s="307">
        <f t="shared" ca="1" si="456"/>
        <v>15.089040186296437</v>
      </c>
      <c r="T970" s="304">
        <f t="shared" ca="1" si="436"/>
        <v>148.02348422756805</v>
      </c>
      <c r="U970" s="311">
        <f t="shared" ca="1" si="437"/>
        <v>0</v>
      </c>
      <c r="V970" s="306">
        <f t="shared" ca="1" si="438"/>
        <v>0.79496080975171368</v>
      </c>
      <c r="W970" s="304">
        <f t="shared" ca="1" si="439"/>
        <v>17.418973894846939</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-3.8924639137930441</v>
      </c>
      <c r="AH970" s="304">
        <f t="shared" ca="1" si="463"/>
        <v>-1.1690463646928684</v>
      </c>
    </row>
    <row r="971" spans="1:34" x14ac:dyDescent="0.2">
      <c r="A971" s="347">
        <f t="shared" ca="1" si="441"/>
        <v>0.1</v>
      </c>
      <c r="B971" s="304">
        <f t="shared" ca="1" si="442"/>
        <v>24.699999999999967</v>
      </c>
      <c r="D971" s="306">
        <f t="shared" ca="1" si="443"/>
        <v>-1.1138300818294573</v>
      </c>
      <c r="E971" s="307">
        <f t="shared" ca="1" si="444"/>
        <v>-10.113398013213299</v>
      </c>
      <c r="F971" s="304">
        <f t="shared" ca="1" si="445"/>
        <v>10.174548482603782</v>
      </c>
      <c r="G971" s="306">
        <f t="shared" ca="1" si="446"/>
        <v>59.042476475005977</v>
      </c>
      <c r="H971" s="307">
        <f t="shared" ca="1" si="447"/>
        <v>15.101677555527299</v>
      </c>
      <c r="I971" s="304">
        <f t="shared" ca="1" si="448"/>
        <v>60.943208754485113</v>
      </c>
      <c r="J971" s="306">
        <f t="shared" ca="1" si="449"/>
        <v>2189.2611524528761</v>
      </c>
      <c r="K971" s="307">
        <f t="shared" ca="1" si="450"/>
        <v>4259.4571075088616</v>
      </c>
      <c r="L971" s="304">
        <f t="shared" ca="1" si="435"/>
        <v>4789.1376305496851</v>
      </c>
      <c r="M971" s="306">
        <f t="shared" ca="1" si="451"/>
        <v>0.25040792943640994</v>
      </c>
      <c r="N971" s="304">
        <f t="shared" ca="1" si="452"/>
        <v>14.347317513316021</v>
      </c>
      <c r="P971" s="310">
        <f t="shared" ca="1" si="453"/>
        <v>23</v>
      </c>
      <c r="Q971" s="304">
        <f t="shared" ca="1" si="454"/>
        <v>0</v>
      </c>
      <c r="R971" s="306">
        <f t="shared" ca="1" si="455"/>
        <v>0</v>
      </c>
      <c r="S971" s="307">
        <f t="shared" ca="1" si="456"/>
        <v>15.089040186296437</v>
      </c>
      <c r="T971" s="304">
        <f t="shared" ca="1" si="436"/>
        <v>148.02348422756805</v>
      </c>
      <c r="U971" s="311">
        <f t="shared" ca="1" si="437"/>
        <v>0</v>
      </c>
      <c r="V971" s="306">
        <f t="shared" ca="1" si="438"/>
        <v>0.79483085535881071</v>
      </c>
      <c r="W971" s="304">
        <f t="shared" ca="1" si="439"/>
        <v>17.208856363369502</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-3.7326371512974936</v>
      </c>
      <c r="AH971" s="304">
        <f t="shared" ca="1" si="463"/>
        <v>-1.154412320451403</v>
      </c>
    </row>
    <row r="972" spans="1:34" x14ac:dyDescent="0.2">
      <c r="A972" s="347">
        <f t="shared" ca="1" si="441"/>
        <v>0.1</v>
      </c>
      <c r="B972" s="304">
        <f t="shared" ca="1" si="442"/>
        <v>24.799999999999969</v>
      </c>
      <c r="D972" s="306">
        <f t="shared" ca="1" si="443"/>
        <v>-1.1049169678934765</v>
      </c>
      <c r="E972" s="307">
        <f t="shared" ca="1" si="444"/>
        <v>-10.092611786817949</v>
      </c>
      <c r="F972" s="304">
        <f t="shared" ca="1" si="445"/>
        <v>10.15291358110348</v>
      </c>
      <c r="G972" s="306">
        <f t="shared" ca="1" si="446"/>
        <v>58.931984778216631</v>
      </c>
      <c r="H972" s="307">
        <f t="shared" ca="1" si="447"/>
        <v>14.092416376845504</v>
      </c>
      <c r="I972" s="304">
        <f t="shared" ca="1" si="448"/>
        <v>60.593522997415654</v>
      </c>
      <c r="J972" s="306">
        <f t="shared" ca="1" si="449"/>
        <v>2195.1598755155374</v>
      </c>
      <c r="K972" s="307">
        <f t="shared" ca="1" si="450"/>
        <v>4260.9168122054798</v>
      </c>
      <c r="L972" s="304">
        <f t="shared" ca="1" si="435"/>
        <v>4793.1345651471856</v>
      </c>
      <c r="M972" s="306">
        <f t="shared" ca="1" si="451"/>
        <v>0.23472237548168606</v>
      </c>
      <c r="N972" s="304">
        <f t="shared" ca="1" si="452"/>
        <v>13.448601472385604</v>
      </c>
      <c r="P972" s="310">
        <f t="shared" ca="1" si="453"/>
        <v>23</v>
      </c>
      <c r="Q972" s="304">
        <f t="shared" ca="1" si="454"/>
        <v>0</v>
      </c>
      <c r="R972" s="306">
        <f t="shared" ca="1" si="455"/>
        <v>0</v>
      </c>
      <c r="S972" s="307">
        <f t="shared" ca="1" si="456"/>
        <v>15.089040186296437</v>
      </c>
      <c r="T972" s="304">
        <f t="shared" ca="1" si="436"/>
        <v>148.02348422756805</v>
      </c>
      <c r="U972" s="311">
        <f t="shared" ca="1" si="437"/>
        <v>0</v>
      </c>
      <c r="V972" s="306">
        <f t="shared" ca="1" si="438"/>
        <v>0.79470932835268948</v>
      </c>
      <c r="W972" s="304">
        <f t="shared" ca="1" si="439"/>
        <v>17.009336633758281</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-3.5713971651567542</v>
      </c>
      <c r="AH972" s="304">
        <f t="shared" ca="1" si="463"/>
        <v>-1.1404871450338001</v>
      </c>
    </row>
    <row r="973" spans="1:34" x14ac:dyDescent="0.2">
      <c r="A973" s="347">
        <f t="shared" ca="1" si="441"/>
        <v>0.1</v>
      </c>
      <c r="B973" s="304">
        <f t="shared" ca="1" si="442"/>
        <v>24.89999999999997</v>
      </c>
      <c r="D973" s="306">
        <f t="shared" ca="1" si="443"/>
        <v>-1.0963535456434763</v>
      </c>
      <c r="E973" s="307">
        <f t="shared" ca="1" si="444"/>
        <v>-10.07217122534705</v>
      </c>
      <c r="F973" s="304">
        <f t="shared" ca="1" si="445"/>
        <v>10.131664438272427</v>
      </c>
      <c r="G973" s="306">
        <f t="shared" ca="1" si="446"/>
        <v>58.822349423652284</v>
      </c>
      <c r="H973" s="307">
        <f t="shared" ca="1" si="447"/>
        <v>13.085199254310799</v>
      </c>
      <c r="I973" s="304">
        <f t="shared" ca="1" si="448"/>
        <v>60.26019607703963</v>
      </c>
      <c r="J973" s="306">
        <f t="shared" ca="1" si="449"/>
        <v>2201.047592225631</v>
      </c>
      <c r="K973" s="307">
        <f t="shared" ca="1" si="450"/>
        <v>4262.2756929870375</v>
      </c>
      <c r="L973" s="304">
        <f t="shared" ca="1" si="435"/>
        <v>4797.0412324963791</v>
      </c>
      <c r="M973" s="306">
        <f t="shared" ca="1" si="451"/>
        <v>0.21888870954073655</v>
      </c>
      <c r="N973" s="304">
        <f t="shared" ca="1" si="452"/>
        <v>12.541399239749161</v>
      </c>
      <c r="P973" s="310">
        <f t="shared" ca="1" si="453"/>
        <v>23</v>
      </c>
      <c r="Q973" s="304">
        <f t="shared" ca="1" si="454"/>
        <v>0</v>
      </c>
      <c r="R973" s="306">
        <f t="shared" ca="1" si="455"/>
        <v>0</v>
      </c>
      <c r="S973" s="307">
        <f t="shared" ca="1" si="456"/>
        <v>15.089040186296437</v>
      </c>
      <c r="T973" s="304">
        <f t="shared" ca="1" si="436"/>
        <v>148.02348422756805</v>
      </c>
      <c r="U973" s="311">
        <f t="shared" ca="1" si="437"/>
        <v>0</v>
      </c>
      <c r="V973" s="306">
        <f t="shared" ca="1" si="438"/>
        <v>0.79459620853551471</v>
      </c>
      <c r="W973" s="304">
        <f t="shared" ca="1" si="439"/>
        <v>16.820318978791928</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-3.4088052810312335</v>
      </c>
      <c r="AH973" s="304">
        <f t="shared" ca="1" si="463"/>
        <v>-1.1272643205765878</v>
      </c>
    </row>
    <row r="974" spans="1:34" x14ac:dyDescent="0.2">
      <c r="A974" s="347">
        <f t="shared" ca="1" si="441"/>
        <v>0.1</v>
      </c>
      <c r="B974" s="304">
        <f t="shared" ca="1" si="442"/>
        <v>24.999999999999972</v>
      </c>
      <c r="D974" s="306">
        <f t="shared" ca="1" si="443"/>
        <v>-1.0881391562154081</v>
      </c>
      <c r="E974" s="307">
        <f t="shared" ca="1" si="444"/>
        <v>-10.052059656151222</v>
      </c>
      <c r="F974" s="304">
        <f t="shared" ca="1" si="445"/>
        <v>10.110783854583788</v>
      </c>
      <c r="G974" s="306">
        <f t="shared" ca="1" si="446"/>
        <v>58.713535508030745</v>
      </c>
      <c r="H974" s="307">
        <f t="shared" ca="1" si="447"/>
        <v>12.079993288695677</v>
      </c>
      <c r="I974" s="304">
        <f t="shared" ca="1" si="448"/>
        <v>59.943352339585743</v>
      </c>
      <c r="J974" s="306">
        <f t="shared" ca="1" si="449"/>
        <v>2206.9243864722152</v>
      </c>
      <c r="K974" s="307">
        <f t="shared" ca="1" si="450"/>
        <v>4263.5339526141879</v>
      </c>
      <c r="L974" s="304">
        <f t="shared" ca="1" si="435"/>
        <v>4800.8579454822157</v>
      </c>
      <c r="M974" s="306">
        <f t="shared" ca="1" si="451"/>
        <v>0.20291306900528461</v>
      </c>
      <c r="N974" s="304">
        <f t="shared" ca="1" si="452"/>
        <v>11.626062462049646</v>
      </c>
      <c r="P974" s="310">
        <f t="shared" ca="1" si="453"/>
        <v>23</v>
      </c>
      <c r="Q974" s="304">
        <f t="shared" ca="1" si="454"/>
        <v>0</v>
      </c>
      <c r="R974" s="306">
        <f t="shared" ca="1" si="455"/>
        <v>0</v>
      </c>
      <c r="S974" s="307">
        <f t="shared" ca="1" si="456"/>
        <v>15.089040186296437</v>
      </c>
      <c r="T974" s="304">
        <f t="shared" ca="1" si="436"/>
        <v>148.02348422756805</v>
      </c>
      <c r="U974" s="311">
        <f t="shared" ca="1" si="437"/>
        <v>0</v>
      </c>
      <c r="V974" s="306">
        <f t="shared" ca="1" si="438"/>
        <v>0.79449147620850469</v>
      </c>
      <c r="W974" s="304">
        <f t="shared" ca="1" si="439"/>
        <v>16.641710195364546</v>
      </c>
      <c r="Y974" s="314" t="str">
        <f t="shared" ca="1" si="457"/>
        <v/>
      </c>
      <c r="Z974" s="315" t="str">
        <f t="shared" ca="1" si="458"/>
        <v/>
      </c>
      <c r="AA974" s="316" t="str">
        <f t="shared" ca="1" si="459"/>
        <v/>
      </c>
      <c r="AC974" s="310">
        <f t="shared" ca="1" si="460"/>
        <v>24.999999999999972</v>
      </c>
      <c r="AD974" s="323">
        <f t="shared" ca="1" si="461"/>
        <v>2206.9243864722152</v>
      </c>
      <c r="AE974" s="324" t="e">
        <f t="shared" ca="1" si="440"/>
        <v>#N/A</v>
      </c>
      <c r="AG974" s="306">
        <f t="shared" ca="1" si="462"/>
        <v>-3.2449297864120847</v>
      </c>
      <c r="AH974" s="304">
        <f t="shared" ca="1" si="463"/>
        <v>-1.1147375029239968</v>
      </c>
    </row>
    <row r="975" spans="1:34" x14ac:dyDescent="0.2">
      <c r="A975" s="347">
        <f t="shared" ca="1" si="441"/>
        <v>0.1</v>
      </c>
      <c r="B975" s="304">
        <f t="shared" ca="1" si="442"/>
        <v>25.099999999999973</v>
      </c>
      <c r="D975" s="306">
        <f t="shared" ca="1" si="443"/>
        <v>-1.0802730583747033</v>
      </c>
      <c r="E975" s="307">
        <f t="shared" ca="1" si="444"/>
        <v>-10.032260355848274</v>
      </c>
      <c r="F975" s="304">
        <f t="shared" ca="1" si="445"/>
        <v>10.090254591841337</v>
      </c>
      <c r="G975" s="306">
        <f t="shared" ca="1" si="446"/>
        <v>58.605508202193278</v>
      </c>
      <c r="H975" s="307">
        <f t="shared" ca="1" si="447"/>
        <v>11.07676725311085</v>
      </c>
      <c r="I975" s="304">
        <f t="shared" ca="1" si="448"/>
        <v>59.643108272598703</v>
      </c>
      <c r="J975" s="306">
        <f t="shared" ca="1" si="449"/>
        <v>2212.7903386577264</v>
      </c>
      <c r="K975" s="307">
        <f t="shared" ca="1" si="450"/>
        <v>4264.6917906412782</v>
      </c>
      <c r="L975" s="304">
        <f t="shared" ca="1" si="435"/>
        <v>4804.5850135074188</v>
      </c>
      <c r="M975" s="306">
        <f t="shared" ca="1" si="451"/>
        <v>0.18680198609213744</v>
      </c>
      <c r="N975" s="304">
        <f t="shared" ca="1" si="452"/>
        <v>10.702965407740978</v>
      </c>
      <c r="P975" s="310">
        <f t="shared" ca="1" si="453"/>
        <v>23</v>
      </c>
      <c r="Q975" s="304">
        <f t="shared" ca="1" si="454"/>
        <v>0</v>
      </c>
      <c r="R975" s="306">
        <f t="shared" ca="1" si="455"/>
        <v>0</v>
      </c>
      <c r="S975" s="307">
        <f t="shared" ca="1" si="456"/>
        <v>15.089040186296437</v>
      </c>
      <c r="T975" s="304">
        <f t="shared" ca="1" si="436"/>
        <v>148.02348422756805</v>
      </c>
      <c r="U975" s="311">
        <f t="shared" ca="1" si="437"/>
        <v>0</v>
      </c>
      <c r="V975" s="306">
        <f t="shared" ca="1" si="438"/>
        <v>0.7943951121562961</v>
      </c>
      <c r="W975" s="304">
        <f t="shared" ca="1" si="439"/>
        <v>16.473419509044327</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-3.0798459067566859</v>
      </c>
      <c r="AH975" s="304">
        <f t="shared" ca="1" si="463"/>
        <v>-1.1029005152016371</v>
      </c>
    </row>
    <row r="976" spans="1:34" x14ac:dyDescent="0.2">
      <c r="A976" s="347">
        <f t="shared" ca="1" si="441"/>
        <v>0.1</v>
      </c>
      <c r="B976" s="304">
        <f t="shared" ca="1" si="442"/>
        <v>25.199999999999974</v>
      </c>
      <c r="D976" s="306">
        <f t="shared" ca="1" si="443"/>
        <v>-1.0727544158842099</v>
      </c>
      <c r="E976" s="307">
        <f t="shared" ca="1" si="444"/>
        <v>-10.012756555638086</v>
      </c>
      <c r="F976" s="304">
        <f t="shared" ca="1" si="445"/>
        <v>10.070059378140357</v>
      </c>
      <c r="G976" s="306">
        <f t="shared" ca="1" si="446"/>
        <v>58.498232760604857</v>
      </c>
      <c r="H976" s="307">
        <f t="shared" ca="1" si="447"/>
        <v>10.075491597547041</v>
      </c>
      <c r="I976" s="304">
        <f t="shared" ca="1" si="448"/>
        <v>59.35957182330533</v>
      </c>
      <c r="J976" s="306">
        <f t="shared" ca="1" si="449"/>
        <v>2218.6455257058665</v>
      </c>
      <c r="K976" s="307">
        <f t="shared" ca="1" si="450"/>
        <v>4265.7494035838108</v>
      </c>
      <c r="L976" s="304">
        <f t="shared" ca="1" si="435"/>
        <v>4808.2227426472555</v>
      </c>
      <c r="M976" s="306">
        <f t="shared" ca="1" si="451"/>
        <v>0.17056237947301289</v>
      </c>
      <c r="N976" s="304">
        <f t="shared" ca="1" si="452"/>
        <v>9.7725044875124247</v>
      </c>
      <c r="P976" s="310">
        <f t="shared" ca="1" si="453"/>
        <v>23</v>
      </c>
      <c r="Q976" s="304">
        <f t="shared" ca="1" si="454"/>
        <v>0</v>
      </c>
      <c r="R976" s="306">
        <f t="shared" ca="1" si="455"/>
        <v>0</v>
      </c>
      <c r="S976" s="307">
        <f t="shared" ca="1" si="456"/>
        <v>15.089040186296437</v>
      </c>
      <c r="T976" s="304">
        <f t="shared" ca="1" si="436"/>
        <v>148.02348422756805</v>
      </c>
      <c r="U976" s="311">
        <f t="shared" ca="1" si="437"/>
        <v>0</v>
      </c>
      <c r="V976" s="306">
        <f t="shared" ca="1" si="438"/>
        <v>0.79430709763133001</v>
      </c>
      <c r="W976" s="304">
        <f t="shared" ca="1" si="439"/>
        <v>16.315358480110106</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-2.9136357356436005</v>
      </c>
      <c r="AH976" s="304">
        <f t="shared" ca="1" si="463"/>
        <v>-1.0917473414912868</v>
      </c>
    </row>
    <row r="977" spans="1:34" x14ac:dyDescent="0.2">
      <c r="A977" s="347">
        <f t="shared" ca="1" si="441"/>
        <v>0.1</v>
      </c>
      <c r="B977" s="304">
        <f t="shared" ca="1" si="442"/>
        <v>25.299999999999976</v>
      </c>
      <c r="D977" s="306">
        <f t="shared" ca="1" si="443"/>
        <v>-1.0655822851436081</v>
      </c>
      <c r="E977" s="307">
        <f t="shared" ca="1" si="444"/>
        <v>-9.9935314479395636</v>
      </c>
      <c r="F977" s="304">
        <f t="shared" ca="1" si="445"/>
        <v>10.050180914161142</v>
      </c>
      <c r="G977" s="306">
        <f t="shared" ca="1" si="446"/>
        <v>58.391674532090498</v>
      </c>
      <c r="H977" s="307">
        <f t="shared" ca="1" si="447"/>
        <v>9.0761384527530851</v>
      </c>
      <c r="I977" s="304">
        <f t="shared" ca="1" si="448"/>
        <v>59.092841731254801</v>
      </c>
      <c r="J977" s="306">
        <f t="shared" ca="1" si="449"/>
        <v>2224.4900210705014</v>
      </c>
      <c r="K977" s="307">
        <f t="shared" ca="1" si="450"/>
        <v>4266.7069850863254</v>
      </c>
      <c r="L977" s="304">
        <f t="shared" ca="1" si="435"/>
        <v>4811.7714358047679</v>
      </c>
      <c r="M977" s="306">
        <f t="shared" ca="1" si="451"/>
        <v>0.15420154337737238</v>
      </c>
      <c r="N977" s="304">
        <f t="shared" ca="1" si="452"/>
        <v>8.8350976299269277</v>
      </c>
      <c r="P977" s="310">
        <f t="shared" ca="1" si="453"/>
        <v>23</v>
      </c>
      <c r="Q977" s="304">
        <f t="shared" ca="1" si="454"/>
        <v>0</v>
      </c>
      <c r="R977" s="306">
        <f t="shared" ca="1" si="455"/>
        <v>0</v>
      </c>
      <c r="S977" s="307">
        <f t="shared" ca="1" si="456"/>
        <v>15.089040186296437</v>
      </c>
      <c r="T977" s="304">
        <f t="shared" ca="1" si="436"/>
        <v>148.02348422756805</v>
      </c>
      <c r="U977" s="311">
        <f t="shared" ca="1" si="437"/>
        <v>0</v>
      </c>
      <c r="V977" s="306">
        <f t="shared" ca="1" si="438"/>
        <v>0.79422741433825783</v>
      </c>
      <c r="W977" s="304">
        <f t="shared" ca="1" si="439"/>
        <v>16.167440911024844</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-2.7463881168266733</v>
      </c>
      <c r="AH977" s="304">
        <f t="shared" ca="1" si="463"/>
        <v>-1.0812721206036278</v>
      </c>
    </row>
    <row r="978" spans="1:34" x14ac:dyDescent="0.2">
      <c r="A978" s="347">
        <f t="shared" ca="1" si="441"/>
        <v>0.1</v>
      </c>
      <c r="B978" s="304">
        <f t="shared" ca="1" si="442"/>
        <v>25.399999999999977</v>
      </c>
      <c r="D978" s="306">
        <f t="shared" ca="1" si="443"/>
        <v>-1.0587556031820826</v>
      </c>
      <c r="E978" s="307">
        <f t="shared" ca="1" si="444"/>
        <v>-9.9745681943378361</v>
      </c>
      <c r="F978" s="304">
        <f t="shared" ca="1" si="445"/>
        <v>10.030601880782898</v>
      </c>
      <c r="G978" s="306">
        <f t="shared" ca="1" si="446"/>
        <v>58.285798971772287</v>
      </c>
      <c r="H978" s="307">
        <f t="shared" ca="1" si="447"/>
        <v>8.0786816333193023</v>
      </c>
      <c r="I978" s="304">
        <f t="shared" ca="1" si="448"/>
        <v>58.843006880260475</v>
      </c>
      <c r="J978" s="306">
        <f t="shared" ca="1" si="449"/>
        <v>2230.3238947456944</v>
      </c>
      <c r="K978" s="307">
        <f t="shared" ca="1" si="450"/>
        <v>4267.5647260906289</v>
      </c>
      <c r="L978" s="304">
        <f t="shared" ca="1" si="435"/>
        <v>4815.2313928664516</v>
      </c>
      <c r="M978" s="306">
        <f t="shared" ca="1" si="451"/>
        <v>0.13772713413763266</v>
      </c>
      <c r="N978" s="304">
        <f t="shared" ca="1" si="452"/>
        <v>7.8911835105185144</v>
      </c>
      <c r="P978" s="310">
        <f t="shared" ca="1" si="453"/>
        <v>23</v>
      </c>
      <c r="Q978" s="304">
        <f t="shared" ca="1" si="454"/>
        <v>0</v>
      </c>
      <c r="R978" s="306">
        <f t="shared" ca="1" si="455"/>
        <v>0</v>
      </c>
      <c r="S978" s="307">
        <f t="shared" ca="1" si="456"/>
        <v>15.089040186296437</v>
      </c>
      <c r="T978" s="304">
        <f t="shared" ca="1" si="436"/>
        <v>148.02348422756805</v>
      </c>
      <c r="U978" s="311">
        <f t="shared" ca="1" si="437"/>
        <v>0</v>
      </c>
      <c r="V978" s="306">
        <f t="shared" ca="1" si="438"/>
        <v>0.79415604441837329</v>
      </c>
      <c r="W978" s="304">
        <f t="shared" ca="1" si="439"/>
        <v>16.029582755312383</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-2.5781984765794697</v>
      </c>
      <c r="AH978" s="304">
        <f t="shared" ca="1" si="463"/>
        <v>-1.07146913994621</v>
      </c>
    </row>
    <row r="979" spans="1:34" x14ac:dyDescent="0.2">
      <c r="A979" s="347">
        <f t="shared" ca="1" si="441"/>
        <v>0.1</v>
      </c>
      <c r="B979" s="304">
        <f t="shared" ca="1" si="442"/>
        <v>25.499999999999979</v>
      </c>
      <c r="D979" s="306">
        <f t="shared" ca="1" si="443"/>
        <v>-1.0522731760877126</v>
      </c>
      <c r="E979" s="307">
        <f t="shared" ca="1" si="444"/>
        <v>-9.9558499348187954</v>
      </c>
      <c r="F979" s="304">
        <f t="shared" ca="1" si="445"/>
        <v>10.011304947994798</v>
      </c>
      <c r="G979" s="306">
        <f t="shared" ca="1" si="446"/>
        <v>58.180571654163515</v>
      </c>
      <c r="H979" s="307">
        <f t="shared" ca="1" si="447"/>
        <v>7.0830966398374224</v>
      </c>
      <c r="I979" s="304">
        <f t="shared" ca="1" si="448"/>
        <v>58.610145674742455</v>
      </c>
      <c r="J979" s="306">
        <f t="shared" ca="1" si="449"/>
        <v>2236.1472132769914</v>
      </c>
      <c r="K979" s="307">
        <f t="shared" ca="1" si="450"/>
        <v>4268.3228150042869</v>
      </c>
      <c r="L979" s="304">
        <f t="shared" ca="1" si="435"/>
        <v>4818.6029108583507</v>
      </c>
      <c r="M979" s="306">
        <f t="shared" ca="1" si="451"/>
        <v>0.12114715417509107</v>
      </c>
      <c r="N979" s="304">
        <f t="shared" ca="1" si="452"/>
        <v>6.9412206342534084</v>
      </c>
      <c r="P979" s="310">
        <f t="shared" ca="1" si="453"/>
        <v>23</v>
      </c>
      <c r="Q979" s="304">
        <f t="shared" ca="1" si="454"/>
        <v>0</v>
      </c>
      <c r="R979" s="306">
        <f t="shared" ca="1" si="455"/>
        <v>0</v>
      </c>
      <c r="S979" s="307">
        <f t="shared" ca="1" si="456"/>
        <v>15.089040186296437</v>
      </c>
      <c r="T979" s="304">
        <f t="shared" ca="1" si="436"/>
        <v>148.02348422756805</v>
      </c>
      <c r="U979" s="311">
        <f t="shared" ca="1" si="437"/>
        <v>0</v>
      </c>
      <c r="V979" s="306">
        <f t="shared" ca="1" si="438"/>
        <v>0.79409297043407345</v>
      </c>
      <c r="W979" s="304">
        <f t="shared" ca="1" si="439"/>
        <v>15.901702027810133</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-2.4091686052994068</v>
      </c>
      <c r="AH979" s="304">
        <f t="shared" ca="1" si="463"/>
        <v>-1.0623328294844179</v>
      </c>
    </row>
    <row r="980" spans="1:34" x14ac:dyDescent="0.2">
      <c r="A980" s="347">
        <f t="shared" ca="1" si="441"/>
        <v>0.1</v>
      </c>
      <c r="B980" s="304">
        <f t="shared" ca="1" si="442"/>
        <v>25.59999999999998</v>
      </c>
      <c r="D980" s="306">
        <f t="shared" ca="1" si="443"/>
        <v>-1.0461336679575859</v>
      </c>
      <c r="E980" s="307">
        <f t="shared" ca="1" si="444"/>
        <v>-9.9373597982566562</v>
      </c>
      <c r="F980" s="304">
        <f t="shared" ca="1" si="445"/>
        <v>9.9922727850695683</v>
      </c>
      <c r="G980" s="306">
        <f t="shared" ca="1" si="446"/>
        <v>58.075958287367754</v>
      </c>
      <c r="H980" s="307">
        <f t="shared" ca="1" si="447"/>
        <v>6.0893606600117565</v>
      </c>
      <c r="I980" s="304">
        <f t="shared" ca="1" si="448"/>
        <v>58.394325445575433</v>
      </c>
      <c r="J980" s="306">
        <f t="shared" ca="1" si="449"/>
        <v>2241.9600397740678</v>
      </c>
      <c r="K980" s="307">
        <f t="shared" ca="1" si="450"/>
        <v>4268.981437869279</v>
      </c>
      <c r="L980" s="304">
        <f t="shared" ca="1" si="435"/>
        <v>4821.8862841025402</v>
      </c>
      <c r="M980" s="306">
        <f t="shared" ca="1" si="451"/>
        <v>0.10446993345566361</v>
      </c>
      <c r="N980" s="304">
        <f t="shared" ca="1" si="452"/>
        <v>5.9856862730220843</v>
      </c>
      <c r="P980" s="310">
        <f t="shared" ca="1" si="453"/>
        <v>23</v>
      </c>
      <c r="Q980" s="304">
        <f t="shared" ca="1" si="454"/>
        <v>0</v>
      </c>
      <c r="R980" s="306">
        <f t="shared" ca="1" si="455"/>
        <v>0</v>
      </c>
      <c r="S980" s="307">
        <f t="shared" ca="1" si="456"/>
        <v>15.089040186296437</v>
      </c>
      <c r="T980" s="304">
        <f t="shared" ca="1" si="436"/>
        <v>148.02348422756805</v>
      </c>
      <c r="U980" s="311">
        <f t="shared" ca="1" si="437"/>
        <v>0</v>
      </c>
      <c r="V980" s="306">
        <f t="shared" ca="1" si="438"/>
        <v>0.79403817535335375</v>
      </c>
      <c r="W980" s="304">
        <f t="shared" ca="1" si="439"/>
        <v>15.783718716277061</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-2.2394063879777786</v>
      </c>
      <c r="AH980" s="304">
        <f t="shared" ca="1" si="463"/>
        <v>-1.0538577557936215</v>
      </c>
    </row>
    <row r="981" spans="1:34" x14ac:dyDescent="0.2">
      <c r="A981" s="347">
        <f t="shared" ca="1" si="441"/>
        <v>0.1</v>
      </c>
      <c r="B981" s="304">
        <f t="shared" ca="1" si="442"/>
        <v>25.699999999999982</v>
      </c>
      <c r="D981" s="306">
        <f t="shared" ca="1" si="443"/>
        <v>-1.0403355904520839</v>
      </c>
      <c r="E981" s="307">
        <f t="shared" ca="1" si="444"/>
        <v>-9.9190809141084291</v>
      </c>
      <c r="F981" s="304">
        <f t="shared" ca="1" si="445"/>
        <v>9.9734880719531311</v>
      </c>
      <c r="G981" s="306">
        <f t="shared" ca="1" si="446"/>
        <v>57.971924728322549</v>
      </c>
      <c r="H981" s="307">
        <f t="shared" ca="1" si="447"/>
        <v>5.0974525686009136</v>
      </c>
      <c r="I981" s="304">
        <f t="shared" ca="1" si="448"/>
        <v>58.195601890481647</v>
      </c>
      <c r="J981" s="306">
        <f t="shared" ca="1" si="449"/>
        <v>2247.7624339248523</v>
      </c>
      <c r="K981" s="307">
        <f t="shared" ca="1" si="450"/>
        <v>4269.5407785307098</v>
      </c>
      <c r="L981" s="304">
        <f t="shared" ca="1" si="435"/>
        <v>4825.0818043739318</v>
      </c>
      <c r="M981" s="306">
        <f t="shared" ca="1" si="451"/>
        <v>8.7704108476582887E-2</v>
      </c>
      <c r="N981" s="304">
        <f t="shared" ca="1" si="452"/>
        <v>5.0250752616657479</v>
      </c>
      <c r="P981" s="310">
        <f t="shared" ca="1" si="453"/>
        <v>23</v>
      </c>
      <c r="Q981" s="304">
        <f t="shared" ca="1" si="454"/>
        <v>0</v>
      </c>
      <c r="R981" s="306">
        <f t="shared" ca="1" si="455"/>
        <v>0</v>
      </c>
      <c r="S981" s="307">
        <f t="shared" ca="1" si="456"/>
        <v>15.089040186296437</v>
      </c>
      <c r="T981" s="304">
        <f t="shared" ca="1" si="436"/>
        <v>148.02348422756805</v>
      </c>
      <c r="U981" s="311">
        <f t="shared" ca="1" si="437"/>
        <v>0</v>
      </c>
      <c r="V981" s="306">
        <f t="shared" ca="1" si="438"/>
        <v>0.79399164253434562</v>
      </c>
      <c r="W981" s="304">
        <f t="shared" ca="1" si="439"/>
        <v>15.67555469434274</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-2.0690254838273705</v>
      </c>
      <c r="AH981" s="304">
        <f t="shared" ca="1" si="463"/>
        <v>-1.0460386162011497</v>
      </c>
    </row>
    <row r="982" spans="1:34" x14ac:dyDescent="0.2">
      <c r="A982" s="347">
        <f t="shared" ca="1" si="441"/>
        <v>0.1</v>
      </c>
      <c r="B982" s="304">
        <f t="shared" ca="1" si="442"/>
        <v>25.799999999999983</v>
      </c>
      <c r="D982" s="306">
        <f t="shared" ca="1" si="443"/>
        <v>-1.0348772930350043</v>
      </c>
      <c r="E982" s="307">
        <f t="shared" ca="1" si="444"/>
        <v>-9.9009964252573948</v>
      </c>
      <c r="F982" s="304">
        <f t="shared" ca="1" si="445"/>
        <v>9.9549335118120794</v>
      </c>
      <c r="G982" s="306">
        <f t="shared" ca="1" si="446"/>
        <v>57.868436999019046</v>
      </c>
      <c r="H982" s="307">
        <f t="shared" ca="1" si="447"/>
        <v>4.1073529260751744</v>
      </c>
      <c r="I982" s="304">
        <f t="shared" ca="1" si="448"/>
        <v>58.014018553870017</v>
      </c>
      <c r="J982" s="306">
        <f t="shared" ca="1" si="449"/>
        <v>2253.5544520112194</v>
      </c>
      <c r="K982" s="307">
        <f t="shared" ca="1" si="450"/>
        <v>4270.0010188054439</v>
      </c>
      <c r="L982" s="304">
        <f t="shared" ca="1" si="435"/>
        <v>4828.1897610573587</v>
      </c>
      <c r="M982" s="306">
        <f t="shared" ca="1" si="451"/>
        <v>7.0858598877946502E-2</v>
      </c>
      <c r="N982" s="304">
        <f t="shared" ca="1" si="452"/>
        <v>4.0598986579167651</v>
      </c>
      <c r="P982" s="310">
        <f t="shared" ca="1" si="453"/>
        <v>23</v>
      </c>
      <c r="Q982" s="304">
        <f t="shared" ca="1" si="454"/>
        <v>0</v>
      </c>
      <c r="R982" s="306">
        <f t="shared" ca="1" si="455"/>
        <v>0</v>
      </c>
      <c r="S982" s="307">
        <f t="shared" ca="1" si="456"/>
        <v>15.089040186296437</v>
      </c>
      <c r="T982" s="304">
        <f t="shared" ca="1" si="436"/>
        <v>148.02348422756805</v>
      </c>
      <c r="U982" s="311">
        <f t="shared" ca="1" si="437"/>
        <v>0</v>
      </c>
      <c r="V982" s="306">
        <f t="shared" ca="1" si="438"/>
        <v>0.79395335570990244</v>
      </c>
      <c r="W982" s="304">
        <f t="shared" ca="1" si="439"/>
        <v>15.577133635788964</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-1.8981449560809414</v>
      </c>
      <c r="AH982" s="304">
        <f t="shared" ca="1" si="463"/>
        <v>-1.038870233017138</v>
      </c>
    </row>
    <row r="983" spans="1:34" x14ac:dyDescent="0.2">
      <c r="A983" s="347">
        <f t="shared" ca="1" si="441"/>
        <v>0.1</v>
      </c>
      <c r="B983" s="304">
        <f t="shared" ca="1" si="442"/>
        <v>25.899999999999984</v>
      </c>
      <c r="D983" s="306">
        <f t="shared" ca="1" si="443"/>
        <v>-1.0297569539781188</v>
      </c>
      <c r="E983" s="307">
        <f t="shared" ca="1" si="444"/>
        <v>-9.8830895019359168</v>
      </c>
      <c r="F983" s="304">
        <f t="shared" ca="1" si="445"/>
        <v>9.9365918446689872</v>
      </c>
      <c r="G983" s="306">
        <f t="shared" ca="1" si="446"/>
        <v>57.765461303621237</v>
      </c>
      <c r="H983" s="307">
        <f t="shared" ca="1" si="447"/>
        <v>3.1190439758815827</v>
      </c>
      <c r="I983" s="304">
        <f t="shared" ca="1" si="448"/>
        <v>57.849606350809736</v>
      </c>
      <c r="J983" s="306">
        <f t="shared" ca="1" si="449"/>
        <v>2259.3361469263514</v>
      </c>
      <c r="K983" s="307">
        <f t="shared" ca="1" si="450"/>
        <v>4270.3623386505415</v>
      </c>
      <c r="L983" s="304">
        <f t="shared" ca="1" si="435"/>
        <v>4831.2104413048428</v>
      </c>
      <c r="M983" s="306">
        <f t="shared" ca="1" si="451"/>
        <v>5.394258180579739E-2</v>
      </c>
      <c r="N983" s="304">
        <f t="shared" ca="1" si="452"/>
        <v>3.0906822735113733</v>
      </c>
      <c r="P983" s="310">
        <f t="shared" ca="1" si="453"/>
        <v>23</v>
      </c>
      <c r="Q983" s="304">
        <f t="shared" ca="1" si="454"/>
        <v>0</v>
      </c>
      <c r="R983" s="306">
        <f t="shared" ca="1" si="455"/>
        <v>0</v>
      </c>
      <c r="S983" s="307">
        <f t="shared" ca="1" si="456"/>
        <v>15.089040186296437</v>
      </c>
      <c r="T983" s="304">
        <f t="shared" ca="1" si="436"/>
        <v>148.02348422756805</v>
      </c>
      <c r="U983" s="311">
        <f t="shared" ca="1" si="437"/>
        <v>0</v>
      </c>
      <c r="V983" s="306">
        <f t="shared" ca="1" si="438"/>
        <v>0.79392329897224168</v>
      </c>
      <c r="W983" s="304">
        <f t="shared" ca="1" si="439"/>
        <v>15.488380930161386</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-1.7268888537172495</v>
      </c>
      <c r="AH983" s="304">
        <f t="shared" ca="1" si="463"/>
        <v>-1.0323475478536934</v>
      </c>
    </row>
    <row r="984" spans="1:34" x14ac:dyDescent="0.2">
      <c r="A984" s="347">
        <f t="shared" ca="1" si="441"/>
        <v>0.1</v>
      </c>
      <c r="B984" s="304">
        <f t="shared" ca="1" si="442"/>
        <v>25.999999999999986</v>
      </c>
      <c r="D984" s="306">
        <f t="shared" ca="1" si="443"/>
        <v>-1.0249725722044745</v>
      </c>
      <c r="E984" s="307">
        <f t="shared" ca="1" si="444"/>
        <v>-9.8653433566465409</v>
      </c>
      <c r="F984" s="304">
        <f t="shared" ca="1" si="445"/>
        <v>9.9184458620441891</v>
      </c>
      <c r="G984" s="306">
        <f t="shared" ca="1" si="446"/>
        <v>57.662964046400788</v>
      </c>
      <c r="H984" s="307">
        <f t="shared" ca="1" si="447"/>
        <v>2.1325096402169286</v>
      </c>
      <c r="I984" s="304">
        <f t="shared" ca="1" si="448"/>
        <v>57.702383139538767</v>
      </c>
      <c r="J984" s="306">
        <f t="shared" ca="1" si="449"/>
        <v>2265.1075681938523</v>
      </c>
      <c r="K984" s="307">
        <f t="shared" ca="1" si="450"/>
        <v>4270.624916331346</v>
      </c>
      <c r="L984" s="304">
        <f t="shared" ca="1" si="435"/>
        <v>4834.1441301929735</v>
      </c>
      <c r="M984" s="306">
        <f t="shared" ca="1" si="451"/>
        <v>3.6965464185569896E-2</v>
      </c>
      <c r="N984" s="304">
        <f t="shared" ca="1" si="452"/>
        <v>2.1179650855751539</v>
      </c>
      <c r="P984" s="310">
        <f t="shared" ca="1" si="453"/>
        <v>23</v>
      </c>
      <c r="Q984" s="304">
        <f t="shared" ca="1" si="454"/>
        <v>0</v>
      </c>
      <c r="R984" s="306">
        <f t="shared" ca="1" si="455"/>
        <v>0</v>
      </c>
      <c r="S984" s="307">
        <f t="shared" ca="1" si="456"/>
        <v>15.089040186296437</v>
      </c>
      <c r="T984" s="304">
        <f t="shared" ca="1" si="436"/>
        <v>148.02348422756805</v>
      </c>
      <c r="U984" s="311">
        <f t="shared" ca="1" si="437"/>
        <v>0</v>
      </c>
      <c r="V984" s="306">
        <f t="shared" ca="1" si="438"/>
        <v>0.79390145675765522</v>
      </c>
      <c r="W984" s="304">
        <f t="shared" ca="1" si="439"/>
        <v>15.409223599713869</v>
      </c>
      <c r="Y984" s="314" t="str">
        <f t="shared" ca="1" si="457"/>
        <v/>
      </c>
      <c r="Z984" s="315" t="str">
        <f t="shared" ca="1" si="458"/>
        <v/>
      </c>
      <c r="AA984" s="316" t="str">
        <f t="shared" ca="1" si="459"/>
        <v/>
      </c>
      <c r="AC984" s="310">
        <f t="shared" ca="1" si="460"/>
        <v>25.999999999999986</v>
      </c>
      <c r="AD984" s="323">
        <f t="shared" ca="1" si="461"/>
        <v>2265.1075681938523</v>
      </c>
      <c r="AE984" s="324" t="e">
        <f t="shared" ca="1" si="440"/>
        <v>#N/A</v>
      </c>
      <c r="AG984" s="306">
        <f t="shared" ca="1" si="462"/>
        <v>-1.5553857476204422</v>
      </c>
      <c r="AH984" s="304">
        <f t="shared" ca="1" si="463"/>
        <v>-1.0264656160321994</v>
      </c>
    </row>
    <row r="985" spans="1:34" x14ac:dyDescent="0.2">
      <c r="A985" s="347">
        <f t="shared" ca="1" si="441"/>
        <v>0.1</v>
      </c>
      <c r="B985" s="304">
        <f t="shared" ca="1" si="442"/>
        <v>26.099999999999987</v>
      </c>
      <c r="D985" s="306">
        <f t="shared" ca="1" si="443"/>
        <v>-1.020521960039203</v>
      </c>
      <c r="E985" s="307">
        <f t="shared" ca="1" si="444"/>
        <v>-9.8477412599894354</v>
      </c>
      <c r="F985" s="304">
        <f t="shared" ca="1" si="445"/>
        <v>9.9004784225117408</v>
      </c>
      <c r="G985" s="306">
        <f t="shared" ca="1" si="446"/>
        <v>57.56091185039687</v>
      </c>
      <c r="H985" s="307">
        <f t="shared" ca="1" si="447"/>
        <v>1.147735514217985</v>
      </c>
      <c r="I985" s="304">
        <f t="shared" ca="1" si="448"/>
        <v>57.572353346547821</v>
      </c>
      <c r="J985" s="306">
        <f t="shared" ca="1" si="449"/>
        <v>2270.8687619886923</v>
      </c>
      <c r="K985" s="307">
        <f t="shared" ca="1" si="450"/>
        <v>4270.7889285890678</v>
      </c>
      <c r="L985" s="304">
        <f t="shared" ca="1" si="435"/>
        <v>4836.9911108802971</v>
      </c>
      <c r="M985" s="306">
        <f t="shared" ca="1" si="451"/>
        <v>1.9936853095541596E-2</v>
      </c>
      <c r="N985" s="304">
        <f t="shared" ca="1" si="452"/>
        <v>1.1422975391468642</v>
      </c>
      <c r="P985" s="310">
        <f t="shared" ca="1" si="453"/>
        <v>23</v>
      </c>
      <c r="Q985" s="304">
        <f t="shared" ca="1" si="454"/>
        <v>0</v>
      </c>
      <c r="R985" s="306">
        <f t="shared" ca="1" si="455"/>
        <v>0</v>
      </c>
      <c r="S985" s="307">
        <f t="shared" ca="1" si="456"/>
        <v>15.089040186296437</v>
      </c>
      <c r="T985" s="304">
        <f t="shared" ca="1" si="436"/>
        <v>148.02348422756805</v>
      </c>
      <c r="U985" s="311">
        <f t="shared" ca="1" si="437"/>
        <v>0</v>
      </c>
      <c r="V985" s="306">
        <f t="shared" ca="1" si="438"/>
        <v>0.79388781383129592</v>
      </c>
      <c r="W985" s="304">
        <f t="shared" ca="1" si="439"/>
        <v>15.339590217693365</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-1.3837682244163674</v>
      </c>
      <c r="AH985" s="304">
        <f t="shared" ca="1" si="463"/>
        <v>-1.0212196010789485</v>
      </c>
    </row>
    <row r="986" spans="1:34" x14ac:dyDescent="0.2">
      <c r="A986" s="347">
        <f t="shared" ca="1" si="441"/>
        <v>0.1</v>
      </c>
      <c r="B986" s="304">
        <f t="shared" ca="1" si="442"/>
        <v>26.199999999999989</v>
      </c>
      <c r="D986" s="306">
        <f t="shared" ca="1" si="443"/>
        <v>-1.0164027369298509</v>
      </c>
      <c r="E986" s="307">
        <f t="shared" ca="1" si="444"/>
        <v>-9.8302665572942054</v>
      </c>
      <c r="F986" s="304">
        <f t="shared" ca="1" si="445"/>
        <v>9.8826724680672964</v>
      </c>
      <c r="G986" s="306">
        <f t="shared" ca="1" si="446"/>
        <v>57.459271576703884</v>
      </c>
      <c r="H986" s="307">
        <f t="shared" ca="1" si="447"/>
        <v>0.16470885848856442</v>
      </c>
      <c r="I986" s="304">
        <f t="shared" ca="1" si="448"/>
        <v>57.45950764785124</v>
      </c>
      <c r="J986" s="306">
        <f t="shared" ca="1" si="449"/>
        <v>2276.6197711600475</v>
      </c>
      <c r="K986" s="307">
        <f t="shared" ca="1" si="450"/>
        <v>4270.8545508077032</v>
      </c>
      <c r="L986" s="304">
        <f t="shared" ca="1" si="435"/>
        <v>4839.751664764598</v>
      </c>
      <c r="M986" s="306">
        <f t="shared" ca="1" si="451"/>
        <v>2.8665244586844568E-3</v>
      </c>
      <c r="N986" s="304">
        <f t="shared" ca="1" si="452"/>
        <v>0.1642397533536423</v>
      </c>
      <c r="P986" s="310">
        <f t="shared" ca="1" si="453"/>
        <v>23</v>
      </c>
      <c r="Q986" s="304">
        <f t="shared" ca="1" si="454"/>
        <v>0</v>
      </c>
      <c r="R986" s="306">
        <f t="shared" ca="1" si="455"/>
        <v>0</v>
      </c>
      <c r="S986" s="307">
        <f t="shared" ca="1" si="456"/>
        <v>15.089040186296437</v>
      </c>
      <c r="T986" s="304">
        <f t="shared" ca="1" si="436"/>
        <v>148.02348422756805</v>
      </c>
      <c r="U986" s="311">
        <f t="shared" ca="1" si="437"/>
        <v>0</v>
      </c>
      <c r="V986" s="306">
        <f t="shared" ca="1" si="438"/>
        <v>0.79388235527204964</v>
      </c>
      <c r="W986" s="304">
        <f t="shared" ca="1" si="439"/>
        <v>15.279410827977395</v>
      </c>
      <c r="Y986" s="314" t="str">
        <f t="shared" ca="1" si="457"/>
        <v>Apogée</v>
      </c>
      <c r="Z986" s="315" t="str">
        <f t="shared" ca="1" si="458"/>
        <v/>
      </c>
      <c r="AA986" s="316" t="str">
        <f t="shared" ca="1" si="459"/>
        <v/>
      </c>
      <c r="AC986" s="310" t="e">
        <f t="shared" ca="1" si="460"/>
        <v>#N/A</v>
      </c>
      <c r="AD986" s="323" t="e">
        <f t="shared" ca="1" si="461"/>
        <v>#N/A</v>
      </c>
      <c r="AE986" s="324" t="e">
        <f t="shared" ca="1" si="440"/>
        <v>#N/A</v>
      </c>
      <c r="AG986" s="306">
        <f t="shared" ca="1" si="462"/>
        <v>-1.212172341937831</v>
      </c>
      <c r="AH986" s="304">
        <f t="shared" ca="1" si="463"/>
        <v>-1.0166047693096127</v>
      </c>
    </row>
    <row r="987" spans="1:34" x14ac:dyDescent="0.2">
      <c r="A987" s="347">
        <f t="shared" ca="1" si="441"/>
        <v>0.1</v>
      </c>
      <c r="B987" s="304">
        <f t="shared" ca="1" si="442"/>
        <v>26.29999999999999</v>
      </c>
      <c r="D987" s="306">
        <f t="shared" ca="1" si="443"/>
        <v>-1.0126123241903811</v>
      </c>
      <c r="E987" s="307">
        <f t="shared" ca="1" si="444"/>
        <v>-9.8129026859448825</v>
      </c>
      <c r="F987" s="304">
        <f t="shared" ca="1" si="445"/>
        <v>9.8650110411963823</v>
      </c>
      <c r="G987" s="306">
        <f t="shared" ca="1" si="446"/>
        <v>57.358010344284843</v>
      </c>
      <c r="H987" s="307">
        <f t="shared" ca="1" si="447"/>
        <v>-0.81658141010592389</v>
      </c>
      <c r="I987" s="304">
        <f t="shared" ca="1" si="448"/>
        <v>57.363822709565106</v>
      </c>
      <c r="J987" s="306">
        <f t="shared" ca="1" si="449"/>
        <v>2282.3606352560969</v>
      </c>
      <c r="K987" s="307">
        <f t="shared" ca="1" si="450"/>
        <v>4270.8219571801219</v>
      </c>
      <c r="L987" s="304">
        <f t="shared" ca="1" si="435"/>
        <v>4842.4260716399649</v>
      </c>
      <c r="M987" s="306">
        <f t="shared" ca="1" si="451"/>
        <v>-1.4235609702674113E-2</v>
      </c>
      <c r="N987" s="304">
        <f t="shared" ca="1" si="452"/>
        <v>-0.81564035475871144</v>
      </c>
      <c r="P987" s="310">
        <f t="shared" ca="1" si="453"/>
        <v>23</v>
      </c>
      <c r="Q987" s="304">
        <f t="shared" ca="1" si="454"/>
        <v>0</v>
      </c>
      <c r="R987" s="306">
        <f t="shared" ca="1" si="455"/>
        <v>0</v>
      </c>
      <c r="S987" s="307">
        <f t="shared" ca="1" si="456"/>
        <v>15.089040186296437</v>
      </c>
      <c r="T987" s="304">
        <f t="shared" ca="1" si="436"/>
        <v>148.02348422756805</v>
      </c>
      <c r="U987" s="311">
        <f t="shared" ca="1" si="437"/>
        <v>0</v>
      </c>
      <c r="V987" s="306">
        <f t="shared" ca="1" si="438"/>
        <v>0.79388506645751067</v>
      </c>
      <c r="W987" s="304">
        <f t="shared" ca="1" si="439"/>
        <v>15.22861686608087</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-1.0407370509320761</v>
      </c>
      <c r="AH987" s="304">
        <f t="shared" ca="1" si="463"/>
        <v>-1.0126164845033583</v>
      </c>
    </row>
    <row r="988" spans="1:34" x14ac:dyDescent="0.2">
      <c r="A988" s="347">
        <f t="shared" ca="1" si="441"/>
        <v>0.1</v>
      </c>
      <c r="B988" s="304">
        <f t="shared" ca="1" si="442"/>
        <v>26.399999999999991</v>
      </c>
      <c r="D988" s="306">
        <f t="shared" ca="1" si="443"/>
        <v>-1.0091479408141564</v>
      </c>
      <c r="E988" s="307">
        <f t="shared" ca="1" si="444"/>
        <v>-9.7956331932790341</v>
      </c>
      <c r="F988" s="304">
        <f t="shared" ca="1" si="445"/>
        <v>9.8474773025237017</v>
      </c>
      <c r="G988" s="306">
        <f t="shared" ca="1" si="446"/>
        <v>57.257095550203424</v>
      </c>
      <c r="H988" s="307">
        <f t="shared" ca="1" si="447"/>
        <v>-1.7961447294338273</v>
      </c>
      <c r="I988" s="304">
        <f t="shared" ca="1" si="448"/>
        <v>57.285260990364677</v>
      </c>
      <c r="J988" s="306">
        <f t="shared" ca="1" si="449"/>
        <v>2288.0913905508214</v>
      </c>
      <c r="K988" s="307">
        <f t="shared" ca="1" si="450"/>
        <v>4270.6913208731448</v>
      </c>
      <c r="L988" s="304">
        <f t="shared" ca="1" si="435"/>
        <v>4845.0146098535142</v>
      </c>
      <c r="M988" s="306">
        <f t="shared" ca="1" si="451"/>
        <v>-3.1359535182324025E-2</v>
      </c>
      <c r="N988" s="304">
        <f t="shared" ca="1" si="452"/>
        <v>-1.7967690134391852</v>
      </c>
      <c r="P988" s="310">
        <f t="shared" ca="1" si="453"/>
        <v>23</v>
      </c>
      <c r="Q988" s="304">
        <f t="shared" ca="1" si="454"/>
        <v>0</v>
      </c>
      <c r="R988" s="306">
        <f t="shared" ca="1" si="455"/>
        <v>0</v>
      </c>
      <c r="S988" s="307">
        <f t="shared" ca="1" si="456"/>
        <v>15.089040186296437</v>
      </c>
      <c r="T988" s="304">
        <f t="shared" ca="1" si="436"/>
        <v>148.02348422756805</v>
      </c>
      <c r="U988" s="311">
        <f t="shared" ca="1" si="437"/>
        <v>0</v>
      </c>
      <c r="V988" s="306">
        <f t="shared" ca="1" si="438"/>
        <v>0.7938959330490637</v>
      </c>
      <c r="W988" s="304">
        <f t="shared" ca="1" si="439"/>
        <v>15.187141081552044</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-0.86960358822052641</v>
      </c>
      <c r="AH988" s="304">
        <f t="shared" ca="1" si="463"/>
        <v>-1.0092502026677079</v>
      </c>
    </row>
    <row r="989" spans="1:34" x14ac:dyDescent="0.2">
      <c r="A989" s="347">
        <f t="shared" ca="1" si="441"/>
        <v>0.1</v>
      </c>
      <c r="B989" s="304">
        <f t="shared" ca="1" si="442"/>
        <v>26.499999999999993</v>
      </c>
      <c r="D989" s="306">
        <f t="shared" ca="1" si="443"/>
        <v>-1.006006600391451</v>
      </c>
      <c r="E989" s="307">
        <f t="shared" ca="1" si="444"/>
        <v>-9.7784417549352565</v>
      </c>
      <c r="F989" s="304">
        <f t="shared" ca="1" si="445"/>
        <v>9.83005454891744</v>
      </c>
      <c r="G989" s="306">
        <f t="shared" ca="1" si="446"/>
        <v>57.156494890164282</v>
      </c>
      <c r="H989" s="307">
        <f t="shared" ca="1" si="447"/>
        <v>-2.7739889049273527</v>
      </c>
      <c r="I989" s="304">
        <f t="shared" ca="1" si="448"/>
        <v>57.223770607799302</v>
      </c>
      <c r="J989" s="306">
        <f t="shared" ca="1" si="449"/>
        <v>2293.81207007284</v>
      </c>
      <c r="K989" s="307">
        <f t="shared" ca="1" si="450"/>
        <v>4270.4628141914263</v>
      </c>
      <c r="L989" s="304">
        <f t="shared" ca="1" si="435"/>
        <v>4847.5175564616166</v>
      </c>
      <c r="M989" s="306">
        <f t="shared" ca="1" si="451"/>
        <v>-4.8495170390016412E-2</v>
      </c>
      <c r="N989" s="304">
        <f t="shared" ca="1" si="452"/>
        <v>-2.7785685901157389</v>
      </c>
      <c r="P989" s="310">
        <f t="shared" ca="1" si="453"/>
        <v>23</v>
      </c>
      <c r="Q989" s="304">
        <f t="shared" ca="1" si="454"/>
        <v>0</v>
      </c>
      <c r="R989" s="306">
        <f t="shared" ca="1" si="455"/>
        <v>0</v>
      </c>
      <c r="S989" s="307">
        <f t="shared" ca="1" si="456"/>
        <v>15.089040186296437</v>
      </c>
      <c r="T989" s="304">
        <f t="shared" ca="1" si="436"/>
        <v>148.02348422756805</v>
      </c>
      <c r="U989" s="311">
        <f t="shared" ca="1" si="437"/>
        <v>0</v>
      </c>
      <c r="V989" s="306">
        <f t="shared" ca="1" si="438"/>
        <v>0.79391494097709259</v>
      </c>
      <c r="W989" s="304">
        <f t="shared" ca="1" si="439"/>
        <v>15.154917461781135</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-0.69891484703683671</v>
      </c>
      <c r="AH989" s="304">
        <f t="shared" ca="1" si="463"/>
        <v>-1.006501466895469</v>
      </c>
    </row>
    <row r="990" spans="1:34" x14ac:dyDescent="0.2">
      <c r="A990" s="347">
        <f t="shared" ca="1" si="441"/>
        <v>0.1</v>
      </c>
      <c r="B990" s="304">
        <f t="shared" ca="1" si="442"/>
        <v>26.599999999999994</v>
      </c>
      <c r="D990" s="306">
        <f t="shared" ca="1" si="443"/>
        <v>-1.0031851091566197</v>
      </c>
      <c r="E990" s="307">
        <f t="shared" ca="1" si="444"/>
        <v>-9.7613121935182274</v>
      </c>
      <c r="F990" s="304">
        <f t="shared" ca="1" si="445"/>
        <v>9.812726231917468</v>
      </c>
      <c r="G990" s="306">
        <f t="shared" ca="1" si="446"/>
        <v>57.056176379248619</v>
      </c>
      <c r="H990" s="307">
        <f t="shared" ca="1" si="447"/>
        <v>-3.7501201242791753</v>
      </c>
      <c r="I990" s="304">
        <f t="shared" ca="1" si="448"/>
        <v>57.179285269811231</v>
      </c>
      <c r="J990" s="306">
        <f t="shared" ca="1" si="449"/>
        <v>2299.5227036363108</v>
      </c>
      <c r="K990" s="307">
        <f t="shared" ca="1" si="450"/>
        <v>4270.1366087399656</v>
      </c>
      <c r="L990" s="304">
        <f t="shared" ca="1" si="435"/>
        <v>4849.9351873855085</v>
      </c>
      <c r="M990" s="306">
        <f t="shared" ca="1" si="451"/>
        <v>-6.5632401735625012E-2</v>
      </c>
      <c r="N990" s="304">
        <f t="shared" ca="1" si="452"/>
        <v>-3.7604596187584121</v>
      </c>
      <c r="P990" s="310">
        <f t="shared" ca="1" si="453"/>
        <v>23</v>
      </c>
      <c r="Q990" s="304">
        <f t="shared" ca="1" si="454"/>
        <v>0</v>
      </c>
      <c r="R990" s="306">
        <f t="shared" ca="1" si="455"/>
        <v>0</v>
      </c>
      <c r="S990" s="307">
        <f t="shared" ca="1" si="456"/>
        <v>15.089040186296437</v>
      </c>
      <c r="T990" s="304">
        <f t="shared" ca="1" si="436"/>
        <v>148.02348422756805</v>
      </c>
      <c r="U990" s="311">
        <f t="shared" ca="1" si="437"/>
        <v>0</v>
      </c>
      <c r="V990" s="306">
        <f t="shared" ca="1" si="438"/>
        <v>0.79394207642632375</v>
      </c>
      <c r="W990" s="304">
        <f t="shared" ca="1" si="439"/>
        <v>15.131881157247376</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-0.52881473069031215</v>
      </c>
      <c r="AH990" s="304">
        <f t="shared" ca="1" si="463"/>
        <v>-1.0043659023152796</v>
      </c>
    </row>
    <row r="991" spans="1:34" x14ac:dyDescent="0.2">
      <c r="A991" s="347">
        <f t="shared" ca="1" si="441"/>
        <v>0.1</v>
      </c>
      <c r="B991" s="304">
        <f t="shared" ca="1" si="442"/>
        <v>26.699999999999996</v>
      </c>
      <c r="D991" s="306">
        <f t="shared" ca="1" si="443"/>
        <v>-1.0006800651790653</v>
      </c>
      <c r="E991" s="307">
        <f t="shared" ca="1" si="444"/>
        <v>-9.7442284974469864</v>
      </c>
      <c r="F991" s="304">
        <f t="shared" ca="1" si="445"/>
        <v>9.7954759763527939</v>
      </c>
      <c r="G991" s="306">
        <f t="shared" ca="1" si="446"/>
        <v>56.956108372730711</v>
      </c>
      <c r="H991" s="307">
        <f t="shared" ca="1" si="447"/>
        <v>-4.7245429740238745</v>
      </c>
      <c r="I991" s="304">
        <f t="shared" ca="1" si="448"/>
        <v>57.151724272148115</v>
      </c>
      <c r="J991" s="306">
        <f t="shared" ca="1" si="449"/>
        <v>2305.2233178739098</v>
      </c>
      <c r="K991" s="307">
        <f t="shared" ca="1" si="450"/>
        <v>4269.7128755850508</v>
      </c>
      <c r="L991" s="304">
        <f t="shared" ca="1" si="435"/>
        <v>4852.2677775661105</v>
      </c>
      <c r="M991" s="306">
        <f t="shared" ca="1" si="451"/>
        <v>-8.2761119288065663E-2</v>
      </c>
      <c r="N991" s="304">
        <f t="shared" ca="1" si="452"/>
        <v>-4.741862842984915</v>
      </c>
      <c r="P991" s="310">
        <f t="shared" ca="1" si="453"/>
        <v>23</v>
      </c>
      <c r="Q991" s="304">
        <f t="shared" ca="1" si="454"/>
        <v>0</v>
      </c>
      <c r="R991" s="306">
        <f t="shared" ca="1" si="455"/>
        <v>0</v>
      </c>
      <c r="S991" s="307">
        <f t="shared" ca="1" si="456"/>
        <v>15.089040186296437</v>
      </c>
      <c r="T991" s="304">
        <f t="shared" ca="1" si="436"/>
        <v>148.02348422756805</v>
      </c>
      <c r="U991" s="311">
        <f t="shared" ca="1" si="437"/>
        <v>0</v>
      </c>
      <c r="V991" s="306">
        <f t="shared" ca="1" si="438"/>
        <v>0.79397732582132163</v>
      </c>
      <c r="W991" s="304">
        <f t="shared" ca="1" si="439"/>
        <v>15.117968408232823</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-0.35944749601575487</v>
      </c>
      <c r="AH991" s="304">
        <f t="shared" ca="1" si="463"/>
        <v>-1.0028392111374882</v>
      </c>
    </row>
    <row r="992" spans="1:34" x14ac:dyDescent="0.2">
      <c r="A992" s="347">
        <f t="shared" ca="1" si="441"/>
        <v>0.1</v>
      </c>
      <c r="B992" s="304">
        <f t="shared" ca="1" si="442"/>
        <v>26.799999999999997</v>
      </c>
      <c r="D992" s="306">
        <f t="shared" ca="1" si="443"/>
        <v>-0.9984878587008551</v>
      </c>
      <c r="E992" s="307">
        <f t="shared" ca="1" si="444"/>
        <v>-9.727174839850333</v>
      </c>
      <c r="F992" s="304">
        <f t="shared" ca="1" si="445"/>
        <v>9.7782875990119233</v>
      </c>
      <c r="G992" s="306">
        <f t="shared" ca="1" si="446"/>
        <v>56.856259586860624</v>
      </c>
      <c r="H992" s="307">
        <f t="shared" ca="1" si="447"/>
        <v>-5.6972604580089081</v>
      </c>
      <c r="I992" s="304">
        <f t="shared" ca="1" si="448"/>
        <v>57.140992561687909</v>
      </c>
      <c r="J992" s="306">
        <f t="shared" ca="1" si="449"/>
        <v>2310.9139362718893</v>
      </c>
      <c r="K992" s="307">
        <f t="shared" ca="1" si="450"/>
        <v>4269.191785413449</v>
      </c>
      <c r="L992" s="304">
        <f t="shared" ca="1" si="435"/>
        <v>4854.5156011179233</v>
      </c>
      <c r="M992" s="306">
        <f t="shared" ca="1" si="451"/>
        <v>-9.9871252394942212E-2</v>
      </c>
      <c r="N992" s="304">
        <f t="shared" ca="1" si="452"/>
        <v>-5.7222012569160041</v>
      </c>
      <c r="P992" s="310">
        <f t="shared" ca="1" si="453"/>
        <v>23</v>
      </c>
      <c r="Q992" s="304">
        <f t="shared" ca="1" si="454"/>
        <v>0</v>
      </c>
      <c r="R992" s="306">
        <f t="shared" ca="1" si="455"/>
        <v>0</v>
      </c>
      <c r="S992" s="307">
        <f t="shared" ca="1" si="456"/>
        <v>15.089040186296437</v>
      </c>
      <c r="T992" s="304">
        <f t="shared" ca="1" si="436"/>
        <v>148.02348422756805</v>
      </c>
      <c r="U992" s="311">
        <f t="shared" ca="1" si="437"/>
        <v>0</v>
      </c>
      <c r="V992" s="306">
        <f t="shared" ca="1" si="438"/>
        <v>0.79402067581214431</v>
      </c>
      <c r="W992" s="304">
        <f t="shared" ca="1" si="439"/>
        <v>15.113116473032536</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-0.19095709326872501</v>
      </c>
      <c r="AH992" s="304">
        <f t="shared" ca="1" si="463"/>
        <v>-1.0019171677972372</v>
      </c>
    </row>
    <row r="993" spans="1:34" x14ac:dyDescent="0.2">
      <c r="A993" s="347">
        <f t="shared" ca="1" si="441"/>
        <v>0.1</v>
      </c>
      <c r="B993" s="304">
        <f t="shared" ca="1" si="442"/>
        <v>26.9</v>
      </c>
      <c r="D993" s="306">
        <f t="shared" ca="1" si="443"/>
        <v>-0.99660467361240235</v>
      </c>
      <c r="E993" s="307">
        <f t="shared" ca="1" si="444"/>
        <v>-9.7101355973731529</v>
      </c>
      <c r="F993" s="304">
        <f t="shared" ca="1" si="445"/>
        <v>9.7611451272296605</v>
      </c>
      <c r="G993" s="306">
        <f t="shared" ca="1" si="446"/>
        <v>56.756599119499384</v>
      </c>
      <c r="H993" s="307">
        <f t="shared" ca="1" si="447"/>
        <v>-6.6682740177462234</v>
      </c>
      <c r="I993" s="304">
        <f t="shared" ca="1" si="448"/>
        <v>57.146980865023025</v>
      </c>
      <c r="J993" s="306">
        <f t="shared" ca="1" si="449"/>
        <v>2316.5945792072071</v>
      </c>
      <c r="K993" s="307">
        <f t="shared" ca="1" si="450"/>
        <v>4268.5735086896611</v>
      </c>
      <c r="L993" s="304">
        <f t="shared" ca="1" si="435"/>
        <v>4856.6789314818188</v>
      </c>
      <c r="M993" s="306">
        <f t="shared" ca="1" si="451"/>
        <v>-0.11695280494956559</v>
      </c>
      <c r="N993" s="304">
        <f t="shared" ca="1" si="452"/>
        <v>-6.7009021258268326</v>
      </c>
      <c r="P993" s="310">
        <f t="shared" ca="1" si="453"/>
        <v>23</v>
      </c>
      <c r="Q993" s="304">
        <f t="shared" ca="1" si="454"/>
        <v>0</v>
      </c>
      <c r="R993" s="306">
        <f t="shared" ca="1" si="455"/>
        <v>0</v>
      </c>
      <c r="S993" s="307">
        <f t="shared" ca="1" si="456"/>
        <v>15.089040186296437</v>
      </c>
      <c r="T993" s="304">
        <f t="shared" ca="1" si="436"/>
        <v>148.02348422756805</v>
      </c>
      <c r="U993" s="311">
        <f t="shared" ca="1" si="437"/>
        <v>0</v>
      </c>
      <c r="V993" s="306">
        <f t="shared" ca="1" si="438"/>
        <v>0.7940721132601779</v>
      </c>
      <c r="W993" s="304">
        <f t="shared" ca="1" si="439"/>
        <v>15.117263557692098</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-2.3486509201212313E-2</v>
      </c>
      <c r="AH993" s="304">
        <f t="shared" ca="1" si="463"/>
        <v>-1.0015956141967177</v>
      </c>
    </row>
    <row r="994" spans="1:34" x14ac:dyDescent="0.2">
      <c r="A994" s="347">
        <f t="shared" ca="1" si="441"/>
        <v>0.1</v>
      </c>
      <c r="B994" s="304">
        <f t="shared" ca="1" si="442"/>
        <v>27</v>
      </c>
      <c r="D994" s="306">
        <f t="shared" ca="1" si="443"/>
        <v>-0.99502649004629007</v>
      </c>
      <c r="E994" s="307">
        <f t="shared" ca="1" si="444"/>
        <v>-9.6930953687592378</v>
      </c>
      <c r="F994" s="304">
        <f t="shared" ca="1" si="445"/>
        <v>9.7440328172556789</v>
      </c>
      <c r="G994" s="306">
        <f t="shared" ca="1" si="446"/>
        <v>56.657096470494757</v>
      </c>
      <c r="H994" s="307">
        <f t="shared" ca="1" si="447"/>
        <v>-7.6375835546221476</v>
      </c>
      <c r="I994" s="304">
        <f t="shared" ca="1" si="448"/>
        <v>57.169565880989374</v>
      </c>
      <c r="J994" s="306">
        <f t="shared" ca="1" si="449"/>
        <v>2322.2652639867069</v>
      </c>
      <c r="K994" s="307">
        <f t="shared" ca="1" si="450"/>
        <v>4267.858215811043</v>
      </c>
      <c r="L994" s="304">
        <f t="shared" ca="1" si="435"/>
        <v>4858.7580415765788</v>
      </c>
      <c r="M994" s="306">
        <f t="shared" ca="1" si="451"/>
        <v>-0.13399588999780229</v>
      </c>
      <c r="N994" s="304">
        <f t="shared" ca="1" si="452"/>
        <v>-7.6773989689733133</v>
      </c>
      <c r="P994" s="310">
        <f t="shared" ca="1" si="453"/>
        <v>23</v>
      </c>
      <c r="Q994" s="304">
        <f t="shared" ca="1" si="454"/>
        <v>0</v>
      </c>
      <c r="R994" s="306">
        <f t="shared" ca="1" si="455"/>
        <v>0</v>
      </c>
      <c r="S994" s="307">
        <f t="shared" ca="1" si="456"/>
        <v>15.089040186296437</v>
      </c>
      <c r="T994" s="304">
        <f t="shared" ca="1" si="436"/>
        <v>148.02348422756805</v>
      </c>
      <c r="U994" s="311">
        <f t="shared" ca="1" si="437"/>
        <v>0</v>
      </c>
      <c r="V994" s="306">
        <f t="shared" ca="1" si="438"/>
        <v>0.79413162522415848</v>
      </c>
      <c r="W994" s="304">
        <f t="shared" ca="1" si="439"/>
        <v>15.130348747303991</v>
      </c>
      <c r="Y994" s="314" t="str">
        <f t="shared" ca="1" si="457"/>
        <v/>
      </c>
      <c r="Z994" s="315" t="str">
        <f t="shared" ca="1" si="458"/>
        <v/>
      </c>
      <c r="AA994" s="316" t="str">
        <f t="shared" ca="1" si="459"/>
        <v/>
      </c>
      <c r="AC994" s="310">
        <f t="shared" ca="1" si="460"/>
        <v>27</v>
      </c>
      <c r="AD994" s="323">
        <f t="shared" ca="1" si="461"/>
        <v>2322.2652639867069</v>
      </c>
      <c r="AE994" s="324" t="e">
        <f t="shared" ca="1" si="440"/>
        <v>#N/A</v>
      </c>
      <c r="AG994" s="306">
        <f t="shared" ca="1" si="462"/>
        <v>0.14282287999555821</v>
      </c>
      <c r="AH994" s="304">
        <f t="shared" ca="1" si="463"/>
        <v>-1.0018704550486448</v>
      </c>
    </row>
    <row r="995" spans="1:34" x14ac:dyDescent="0.2">
      <c r="A995" s="347">
        <f t="shared" ca="1" si="441"/>
        <v>0.1</v>
      </c>
      <c r="B995" s="304">
        <f t="shared" ca="1" si="442"/>
        <v>27.1</v>
      </c>
      <c r="D995" s="306">
        <f t="shared" ca="1" si="443"/>
        <v>-0.99374908805828466</v>
      </c>
      <c r="E995" s="307">
        <f t="shared" ca="1" si="444"/>
        <v>-9.6760389930795832</v>
      </c>
      <c r="F995" s="304">
        <f t="shared" ca="1" si="445"/>
        <v>9.7269351722735991</v>
      </c>
      <c r="G995" s="306">
        <f t="shared" ca="1" si="446"/>
        <v>56.557721561688929</v>
      </c>
      <c r="H995" s="307">
        <f t="shared" ca="1" si="447"/>
        <v>-8.6051874539301068</v>
      </c>
      <c r="I995" s="304">
        <f t="shared" ca="1" si="448"/>
        <v>57.208610535187873</v>
      </c>
      <c r="J995" s="306">
        <f t="shared" ca="1" si="449"/>
        <v>2327.9260048883161</v>
      </c>
      <c r="K995" s="307">
        <f t="shared" ca="1" si="450"/>
        <v>4267.0460772606157</v>
      </c>
      <c r="L995" s="304">
        <f t="shared" ca="1" si="435"/>
        <v>4860.7532039490015</v>
      </c>
      <c r="M995" s="306">
        <f t="shared" ca="1" si="451"/>
        <v>-0.15099076338799911</v>
      </c>
      <c r="N995" s="304">
        <f t="shared" ca="1" si="452"/>
        <v>-8.6511334875907799</v>
      </c>
      <c r="P995" s="310">
        <f t="shared" ca="1" si="453"/>
        <v>23</v>
      </c>
      <c r="Q995" s="304">
        <f t="shared" ca="1" si="454"/>
        <v>0</v>
      </c>
      <c r="R995" s="306">
        <f t="shared" ca="1" si="455"/>
        <v>0</v>
      </c>
      <c r="S995" s="307">
        <f t="shared" ca="1" si="456"/>
        <v>15.089040186296437</v>
      </c>
      <c r="T995" s="304">
        <f t="shared" ca="1" si="436"/>
        <v>148.02348422756805</v>
      </c>
      <c r="U995" s="311">
        <f t="shared" ca="1" si="437"/>
        <v>0</v>
      </c>
      <c r="V995" s="306">
        <f t="shared" ca="1" si="438"/>
        <v>0.79419919894639934</v>
      </c>
      <c r="W995" s="304">
        <f t="shared" ca="1" si="439"/>
        <v>15.152311938894419</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0.30783193936574782</v>
      </c>
      <c r="AH995" s="304">
        <f t="shared" ca="1" si="463"/>
        <v>-1.0027376533230437</v>
      </c>
    </row>
    <row r="996" spans="1:34" x14ac:dyDescent="0.2">
      <c r="A996" s="347">
        <f t="shared" ca="1" si="441"/>
        <v>0.1</v>
      </c>
      <c r="B996" s="304">
        <f t="shared" ca="1" si="442"/>
        <v>27.200000000000003</v>
      </c>
      <c r="D996" s="306">
        <f t="shared" ca="1" si="443"/>
        <v>-0.9927680523540352</v>
      </c>
      <c r="E996" s="307">
        <f t="shared" ca="1" si="444"/>
        <v>-9.6589515674802868</v>
      </c>
      <c r="F996" s="304">
        <f t="shared" ca="1" si="445"/>
        <v>9.7098369599445231</v>
      </c>
      <c r="G996" s="306">
        <f t="shared" ca="1" si="446"/>
        <v>56.458444756453524</v>
      </c>
      <c r="H996" s="307">
        <f t="shared" ca="1" si="447"/>
        <v>-9.5710826106781361</v>
      </c>
      <c r="I996" s="304">
        <f t="shared" ca="1" si="448"/>
        <v>57.263964293942657</v>
      </c>
      <c r="J996" s="306">
        <f t="shared" ca="1" si="449"/>
        <v>2333.5768132042231</v>
      </c>
      <c r="K996" s="307">
        <f t="shared" ca="1" si="450"/>
        <v>4266.137263757385</v>
      </c>
      <c r="L996" s="304">
        <f t="shared" ca="1" si="435"/>
        <v>4862.6646909224291</v>
      </c>
      <c r="M996" s="306">
        <f t="shared" ca="1" si="451"/>
        <v>-0.16792785618271866</v>
      </c>
      <c r="N996" s="304">
        <f t="shared" ca="1" si="452"/>
        <v>-9.621557421949646</v>
      </c>
      <c r="P996" s="310">
        <f t="shared" ca="1" si="453"/>
        <v>23</v>
      </c>
      <c r="Q996" s="304">
        <f t="shared" ca="1" si="454"/>
        <v>0</v>
      </c>
      <c r="R996" s="306">
        <f t="shared" ca="1" si="455"/>
        <v>0</v>
      </c>
      <c r="S996" s="307">
        <f t="shared" ca="1" si="456"/>
        <v>15.089040186296437</v>
      </c>
      <c r="T996" s="304">
        <f t="shared" ca="1" si="436"/>
        <v>148.02348422756805</v>
      </c>
      <c r="U996" s="311">
        <f t="shared" ca="1" si="437"/>
        <v>0</v>
      </c>
      <c r="V996" s="306">
        <f t="shared" ca="1" si="438"/>
        <v>0.79427482183923037</v>
      </c>
      <c r="W996" s="304">
        <f t="shared" ca="1" si="439"/>
        <v>15.183093775931795</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0.47140438325507739</v>
      </c>
      <c r="AH996" s="304">
        <f t="shared" ca="1" si="463"/>
        <v>-1.004193225799441</v>
      </c>
    </row>
    <row r="997" spans="1:34" x14ac:dyDescent="0.2">
      <c r="A997" s="347">
        <f t="shared" ca="1" si="441"/>
        <v>0.1</v>
      </c>
      <c r="B997" s="304">
        <f t="shared" ca="1" si="442"/>
        <v>27.300000000000004</v>
      </c>
      <c r="D997" s="306">
        <f t="shared" ca="1" si="443"/>
        <v>-0.99207877801010613</v>
      </c>
      <c r="E997" s="307">
        <f t="shared" ca="1" si="444"/>
        <v>-9.6418184643307949</v>
      </c>
      <c r="F997" s="304">
        <f t="shared" ca="1" si="445"/>
        <v>9.6927232293555292</v>
      </c>
      <c r="G997" s="306">
        <f t="shared" ca="1" si="446"/>
        <v>56.35923687865251</v>
      </c>
      <c r="H997" s="307">
        <f t="shared" ca="1" si="447"/>
        <v>-10.535264457111216</v>
      </c>
      <c r="I997" s="304">
        <f t="shared" ca="1" si="448"/>
        <v>57.335463534581599</v>
      </c>
      <c r="J997" s="306">
        <f t="shared" ca="1" si="449"/>
        <v>2339.2176972859784</v>
      </c>
      <c r="K997" s="307">
        <f t="shared" ca="1" si="450"/>
        <v>4265.1319464039952</v>
      </c>
      <c r="L997" s="304">
        <f t="shared" ca="1" si="435"/>
        <v>4864.492774743514</v>
      </c>
      <c r="M997" s="306">
        <f t="shared" ca="1" si="451"/>
        <v>-0.18479780557080472</v>
      </c>
      <c r="N997" s="304">
        <f t="shared" ca="1" si="452"/>
        <v>-10.588134322486283</v>
      </c>
      <c r="P997" s="310">
        <f t="shared" ca="1" si="453"/>
        <v>23</v>
      </c>
      <c r="Q997" s="304">
        <f t="shared" ca="1" si="454"/>
        <v>0</v>
      </c>
      <c r="R997" s="306">
        <f t="shared" ca="1" si="455"/>
        <v>0</v>
      </c>
      <c r="S997" s="307">
        <f t="shared" ca="1" si="456"/>
        <v>15.089040186296437</v>
      </c>
      <c r="T997" s="304">
        <f t="shared" ca="1" si="436"/>
        <v>148.02348422756805</v>
      </c>
      <c r="U997" s="311">
        <f t="shared" ca="1" si="437"/>
        <v>0</v>
      </c>
      <c r="V997" s="306">
        <f t="shared" ca="1" si="438"/>
        <v>0.79435848147166677</v>
      </c>
      <c r="W997" s="304">
        <f t="shared" ca="1" si="439"/>
        <v>15.222635584487325</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0.6334073549423318</v>
      </c>
      <c r="AH997" s="304">
        <f t="shared" ca="1" si="463"/>
        <v>-1.0062332387265278</v>
      </c>
    </row>
    <row r="998" spans="1:34" x14ac:dyDescent="0.2">
      <c r="A998" s="347">
        <f t="shared" ca="1" si="441"/>
        <v>0.1</v>
      </c>
      <c r="B998" s="304">
        <f t="shared" ca="1" si="442"/>
        <v>27.400000000000006</v>
      </c>
      <c r="D998" s="306">
        <f t="shared" ca="1" si="443"/>
        <v>-0.99167647712900397</v>
      </c>
      <c r="E998" s="307">
        <f t="shared" ca="1" si="444"/>
        <v>-9.6246253476613752</v>
      </c>
      <c r="F998" s="304">
        <f t="shared" ca="1" si="445"/>
        <v>9.6755793272618487</v>
      </c>
      <c r="G998" s="306">
        <f t="shared" ca="1" si="446"/>
        <v>56.260069230939607</v>
      </c>
      <c r="H998" s="307">
        <f t="shared" ca="1" si="447"/>
        <v>-11.497726991877354</v>
      </c>
      <c r="I998" s="304">
        <f t="shared" ca="1" si="448"/>
        <v>57.42293196842062</v>
      </c>
      <c r="J998" s="306">
        <f t="shared" ca="1" si="449"/>
        <v>2344.8486625914579</v>
      </c>
      <c r="K998" s="307">
        <f t="shared" ca="1" si="450"/>
        <v>4264.0302968315455</v>
      </c>
      <c r="L998" s="304">
        <f t="shared" ca="1" si="435"/>
        <v>4866.2377277270643</v>
      </c>
      <c r="M998" s="306">
        <f t="shared" ca="1" si="451"/>
        <v>-0.20159148404187879</v>
      </c>
      <c r="N998" s="304">
        <f t="shared" ca="1" si="452"/>
        <v>-11.550341221378542</v>
      </c>
      <c r="P998" s="310">
        <f t="shared" ca="1" si="453"/>
        <v>23</v>
      </c>
      <c r="Q998" s="304">
        <f t="shared" ca="1" si="454"/>
        <v>0</v>
      </c>
      <c r="R998" s="306">
        <f t="shared" ca="1" si="455"/>
        <v>0</v>
      </c>
      <c r="S998" s="307">
        <f t="shared" ca="1" si="456"/>
        <v>15.089040186296437</v>
      </c>
      <c r="T998" s="304">
        <f t="shared" ca="1" si="436"/>
        <v>148.02348422756805</v>
      </c>
      <c r="U998" s="311">
        <f t="shared" ca="1" si="437"/>
        <v>0</v>
      </c>
      <c r="V998" s="306">
        <f t="shared" ca="1" si="438"/>
        <v>0.79445016555631887</v>
      </c>
      <c r="W998" s="304">
        <f t="shared" ca="1" si="439"/>
        <v>15.27087931107676</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0.79371197250859549</v>
      </c>
      <c r="AH998" s="304">
        <f t="shared" ca="1" si="463"/>
        <v>-1.0088538035913124</v>
      </c>
    </row>
    <row r="999" spans="1:34" x14ac:dyDescent="0.2">
      <c r="A999" s="347">
        <f t="shared" ca="1" si="441"/>
        <v>0.1</v>
      </c>
      <c r="B999" s="304">
        <f t="shared" ca="1" si="442"/>
        <v>27.500000000000007</v>
      </c>
      <c r="D999" s="306">
        <f t="shared" ca="1" si="443"/>
        <v>-0.9915561863598682</v>
      </c>
      <c r="E999" s="307">
        <f t="shared" ca="1" si="444"/>
        <v>-9.607358188787952</v>
      </c>
      <c r="F999" s="304">
        <f t="shared" ca="1" si="445"/>
        <v>9.6583909135207104</v>
      </c>
      <c r="G999" s="306">
        <f t="shared" ca="1" si="446"/>
        <v>56.160913612303617</v>
      </c>
      <c r="H999" s="307">
        <f t="shared" ca="1" si="447"/>
        <v>-12.458462810756149</v>
      </c>
      <c r="I999" s="304">
        <f t="shared" ca="1" si="448"/>
        <v>57.526181112391107</v>
      </c>
      <c r="J999" s="306">
        <f t="shared" ca="1" si="449"/>
        <v>2350.46971173362</v>
      </c>
      <c r="K999" s="307">
        <f t="shared" ca="1" si="450"/>
        <v>4262.832487341414</v>
      </c>
      <c r="L999" s="304">
        <f t="shared" ca="1" si="435"/>
        <v>4867.8998223988247</v>
      </c>
      <c r="M999" s="306">
        <f t="shared" ca="1" si="451"/>
        <v>-0.21830002661215728</v>
      </c>
      <c r="N999" s="304">
        <f t="shared" ca="1" si="452"/>
        <v>-12.507670192470167</v>
      </c>
      <c r="P999" s="310">
        <f t="shared" ca="1" si="453"/>
        <v>23</v>
      </c>
      <c r="Q999" s="304">
        <f t="shared" ca="1" si="454"/>
        <v>0</v>
      </c>
      <c r="R999" s="306">
        <f t="shared" ca="1" si="455"/>
        <v>0</v>
      </c>
      <c r="S999" s="307">
        <f t="shared" ca="1" si="456"/>
        <v>15.089040186296437</v>
      </c>
      <c r="T999" s="304">
        <f t="shared" ca="1" si="436"/>
        <v>148.02348422756805</v>
      </c>
      <c r="U999" s="311">
        <f t="shared" ca="1" si="437"/>
        <v>0</v>
      </c>
      <c r="V999" s="306">
        <f t="shared" ca="1" si="438"/>
        <v>0.79454986193655042</v>
      </c>
      <c r="W999" s="304">
        <f t="shared" ca="1" si="439"/>
        <v>15.327767462210778</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0.95219383620046116</v>
      </c>
      <c r="AH999" s="304">
        <f t="shared" ca="1" si="463"/>
        <v>-1.0120510729996905</v>
      </c>
    </row>
    <row r="1000" spans="1:34" x14ac:dyDescent="0.2">
      <c r="A1000" s="347">
        <f t="shared" ca="1" si="441"/>
        <v>0.1</v>
      </c>
      <c r="B1000" s="304">
        <f t="shared" ca="1" si="442"/>
        <v>27.600000000000009</v>
      </c>
      <c r="D1000" s="306">
        <f t="shared" ca="1" si="443"/>
        <v>-0.99171277520963463</v>
      </c>
      <c r="E1000" s="307">
        <f t="shared" ca="1" si="444"/>
        <v>-9.5900032810329101</v>
      </c>
      <c r="F1000" s="304">
        <f t="shared" ca="1" si="445"/>
        <v>9.6411439756252975</v>
      </c>
      <c r="G1000" s="306">
        <f t="shared" ca="1" si="446"/>
        <v>56.06174233478265</v>
      </c>
      <c r="H1000" s="307">
        <f t="shared" ca="1" si="447"/>
        <v>-13.417463138859441</v>
      </c>
      <c r="I1000" s="304">
        <f t="shared" ca="1" si="448"/>
        <v>57.645010804875504</v>
      </c>
      <c r="J1000" s="306">
        <f t="shared" ca="1" si="449"/>
        <v>2356.0808445309744</v>
      </c>
      <c r="K1000" s="307">
        <f t="shared" ca="1" si="450"/>
        <v>4261.5386910439329</v>
      </c>
      <c r="L1000" s="304">
        <f t="shared" ca="1" si="435"/>
        <v>4869.4793316360037</v>
      </c>
      <c r="M1000" s="306">
        <f t="shared" ca="1" si="451"/>
        <v>-0.23491485591982494</v>
      </c>
      <c r="N1000" s="304">
        <f t="shared" ca="1" si="452"/>
        <v>-13.459629789129792</v>
      </c>
      <c r="P1000" s="310">
        <f t="shared" ca="1" si="453"/>
        <v>23</v>
      </c>
      <c r="Q1000" s="304">
        <f t="shared" ca="1" si="454"/>
        <v>0</v>
      </c>
      <c r="R1000" s="306">
        <f t="shared" ca="1" si="455"/>
        <v>0</v>
      </c>
      <c r="S1000" s="307">
        <f t="shared" ca="1" si="456"/>
        <v>15.089040186296437</v>
      </c>
      <c r="T1000" s="304">
        <f t="shared" ca="1" si="436"/>
        <v>148.02348422756805</v>
      </c>
      <c r="U1000" s="311">
        <f t="shared" ca="1" si="437"/>
        <v>0</v>
      </c>
      <c r="V1000" s="306">
        <f t="shared" ca="1" si="438"/>
        <v>0.79465755857389986</v>
      </c>
      <c r="W1000" s="304">
        <f t="shared" ca="1" si="439"/>
        <v>15.393243045679348</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1.1087334931967758</v>
      </c>
      <c r="AH1000" s="304">
        <f t="shared" ca="1" si="463"/>
        <v>-1.0158212366702521</v>
      </c>
    </row>
    <row r="1001" spans="1:34" x14ac:dyDescent="0.2">
      <c r="A1001" s="347">
        <f t="shared" ca="1" si="441"/>
        <v>0.1</v>
      </c>
      <c r="B1001" s="304">
        <f t="shared" ca="1" si="442"/>
        <v>27.70000000000001</v>
      </c>
      <c r="D1001" s="306">
        <f t="shared" ca="1" si="443"/>
        <v>-0.9921409550638367</v>
      </c>
      <c r="E1001" s="307">
        <f t="shared" ca="1" si="444"/>
        <v>-9.5725472534616074</v>
      </c>
      <c r="F1001" s="304">
        <f t="shared" ca="1" si="445"/>
        <v>9.6238248422584221</v>
      </c>
      <c r="G1001" s="306">
        <f t="shared" ca="1" si="446"/>
        <v>55.962528239276267</v>
      </c>
      <c r="H1001" s="307">
        <f t="shared" ca="1" si="447"/>
        <v>-14.374717864205602</v>
      </c>
      <c r="I1001" s="304">
        <f t="shared" ca="1" si="448"/>
        <v>57.779209761014428</v>
      </c>
      <c r="J1001" s="306">
        <f t="shared" ca="1" si="449"/>
        <v>2361.6820580596773</v>
      </c>
      <c r="K1001" s="307">
        <f t="shared" ca="1" si="450"/>
        <v>4260.1490819937799</v>
      </c>
      <c r="L1001" s="304">
        <f t="shared" ca="1" si="435"/>
        <v>4870.9765288054341</v>
      </c>
      <c r="M1001" s="306">
        <f t="shared" ca="1" si="451"/>
        <v>-0.25142770503941275</v>
      </c>
      <c r="N1001" s="304">
        <f t="shared" ca="1" si="452"/>
        <v>-14.40574635141849</v>
      </c>
      <c r="P1001" s="310">
        <f t="shared" ca="1" si="453"/>
        <v>23</v>
      </c>
      <c r="Q1001" s="304">
        <f t="shared" ca="1" si="454"/>
        <v>0</v>
      </c>
      <c r="R1001" s="306">
        <f t="shared" ca="1" si="455"/>
        <v>0</v>
      </c>
      <c r="S1001" s="307">
        <f t="shared" ca="1" si="456"/>
        <v>15.089040186296437</v>
      </c>
      <c r="T1001" s="304">
        <f t="shared" ca="1" si="436"/>
        <v>148.02348422756805</v>
      </c>
      <c r="U1001" s="311">
        <f t="shared" ca="1" si="437"/>
        <v>0</v>
      </c>
      <c r="V1001" s="306">
        <f t="shared" ca="1" si="438"/>
        <v>0.79477324353577383</v>
      </c>
      <c r="W1001" s="304">
        <f t="shared" ca="1" si="439"/>
        <v>15.467249513593115</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1.2632168563940751</v>
      </c>
      <c r="AH1001" s="304">
        <f t="shared" ca="1" si="463"/>
        <v>-1.0201605175430033</v>
      </c>
    </row>
    <row r="1002" spans="1:34" x14ac:dyDescent="0.2">
      <c r="A1002" s="347">
        <f t="shared" ca="1" si="441"/>
        <v>0.1</v>
      </c>
      <c r="B1002" s="304">
        <f t="shared" ca="1" si="442"/>
        <v>27.800000000000011</v>
      </c>
      <c r="D1002" s="306">
        <f t="shared" ca="1" si="443"/>
        <v>-0.99283528883183914</v>
      </c>
      <c r="E1002" s="307">
        <f t="shared" ca="1" si="444"/>
        <v>-9.5549770835662784</v>
      </c>
      <c r="F1002" s="304">
        <f t="shared" ca="1" si="445"/>
        <v>9.6064201957975239</v>
      </c>
      <c r="G1002" s="306">
        <f t="shared" ca="1" si="446"/>
        <v>55.863244710393083</v>
      </c>
      <c r="H1002" s="307">
        <f t="shared" ca="1" si="447"/>
        <v>-15.33021557256223</v>
      </c>
      <c r="I1002" s="304">
        <f t="shared" ca="1" si="448"/>
        <v>57.928556162522213</v>
      </c>
      <c r="J1002" s="306">
        <f t="shared" ca="1" si="449"/>
        <v>2367.2733467071607</v>
      </c>
      <c r="K1002" s="307">
        <f t="shared" ca="1" si="450"/>
        <v>4258.6638353219414</v>
      </c>
      <c r="L1002" s="304">
        <f t="shared" ca="1" si="435"/>
        <v>4872.3916878991886</v>
      </c>
      <c r="M1002" s="306">
        <f t="shared" ca="1" si="451"/>
        <v>-0.26783063789699774</v>
      </c>
      <c r="N1002" s="304">
        <f t="shared" ca="1" si="452"/>
        <v>-15.345565175794572</v>
      </c>
      <c r="P1002" s="310">
        <f t="shared" ca="1" si="453"/>
        <v>23</v>
      </c>
      <c r="Q1002" s="304">
        <f t="shared" ca="1" si="454"/>
        <v>0</v>
      </c>
      <c r="R1002" s="306">
        <f t="shared" ca="1" si="455"/>
        <v>0</v>
      </c>
      <c r="S1002" s="307">
        <f t="shared" ca="1" si="456"/>
        <v>15.089040186296437</v>
      </c>
      <c r="T1002" s="304">
        <f t="shared" ca="1" si="436"/>
        <v>148.02348422756805</v>
      </c>
      <c r="U1002" s="311">
        <f t="shared" ca="1" si="437"/>
        <v>0</v>
      </c>
      <c r="V1002" s="306">
        <f t="shared" ca="1" si="438"/>
        <v>0.79489690498341958</v>
      </c>
      <c r="W1002" s="304">
        <f t="shared" ca="1" si="439"/>
        <v>15.549730707202194</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1.4155355745657663</v>
      </c>
      <c r="AH1002" s="304">
        <f t="shared" ca="1" si="463"/>
        <v>-1.0250651680045335</v>
      </c>
    </row>
    <row r="1003" spans="1:34" x14ac:dyDescent="0.2">
      <c r="A1003" s="347">
        <f t="shared" ca="1" si="441"/>
        <v>0.1</v>
      </c>
      <c r="B1003" s="304">
        <f t="shared" ca="1" si="442"/>
        <v>27.900000000000013</v>
      </c>
      <c r="D1003" s="306">
        <f t="shared" ca="1" si="443"/>
        <v>-0.99379020112823546</v>
      </c>
      <c r="E1003" s="307">
        <f t="shared" ca="1" si="444"/>
        <v>-9.5372801088412</v>
      </c>
      <c r="F1003" s="304">
        <f t="shared" ca="1" si="445"/>
        <v>9.5889170837147457</v>
      </c>
      <c r="G1003" s="306">
        <f t="shared" ca="1" si="446"/>
        <v>55.763865690280262</v>
      </c>
      <c r="H1003" s="307">
        <f t="shared" ca="1" si="447"/>
        <v>-16.283943583446348</v>
      </c>
      <c r="I1003" s="304">
        <f t="shared" ca="1" si="448"/>
        <v>58.092818276896153</v>
      </c>
      <c r="J1003" s="306">
        <f t="shared" ca="1" si="449"/>
        <v>2372.8547022271946</v>
      </c>
      <c r="K1003" s="307">
        <f t="shared" ca="1" si="450"/>
        <v>4257.0831273641406</v>
      </c>
      <c r="L1003" s="304">
        <f t="shared" ca="1" si="435"/>
        <v>4873.7250836675394</v>
      </c>
      <c r="M1003" s="306">
        <f t="shared" ca="1" si="451"/>
        <v>-0.28411606720086308</v>
      </c>
      <c r="N1003" s="304">
        <f t="shared" ca="1" si="452"/>
        <v>-16.278651542464733</v>
      </c>
      <c r="P1003" s="310">
        <f t="shared" ca="1" si="453"/>
        <v>23</v>
      </c>
      <c r="Q1003" s="304">
        <f t="shared" ca="1" si="454"/>
        <v>0</v>
      </c>
      <c r="R1003" s="306">
        <f t="shared" ca="1" si="455"/>
        <v>0</v>
      </c>
      <c r="S1003" s="307">
        <f t="shared" ca="1" si="456"/>
        <v>15.089040186296437</v>
      </c>
      <c r="T1003" s="304">
        <f t="shared" ca="1" si="436"/>
        <v>148.02348422756805</v>
      </c>
      <c r="U1003" s="311">
        <f t="shared" ca="1" si="437"/>
        <v>0</v>
      </c>
      <c r="V1003" s="306">
        <f ca="1">Rho_moyen*(20000-Alt_rampe-pos_z)/(20000+Alt_rampe+pos_z)</f>
        <v>0.79502853116018946</v>
      </c>
      <c r="W1003" s="304">
        <f t="shared" ca="1" si="439"/>
        <v>15.640630803509731</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1.5655873520062416</v>
      </c>
      <c r="AH1003" s="304">
        <f t="shared" ca="1" si="463"/>
        <v>-1.0305314662309766</v>
      </c>
    </row>
    <row r="1004" spans="1:34" x14ac:dyDescent="0.2">
      <c r="A1004" s="348">
        <f t="shared" ca="1" si="441"/>
        <v>0.1</v>
      </c>
      <c r="B1004" s="305">
        <f t="shared" ca="1" si="442"/>
        <v>28.000000000000014</v>
      </c>
      <c r="D1004" s="308">
        <f t="shared" ca="1" si="443"/>
        <v>-0.99499998890036656</v>
      </c>
      <c r="E1004" s="309">
        <f t="shared" ca="1" si="444"/>
        <v>-9.5194440372054867</v>
      </c>
      <c r="F1004" s="305">
        <f t="shared" ca="1" si="445"/>
        <v>9.571302928828386</v>
      </c>
      <c r="G1004" s="308">
        <f t="shared" ca="1" si="446"/>
        <v>55.664365691390223</v>
      </c>
      <c r="H1004" s="309">
        <f t="shared" ca="1" si="447"/>
        <v>-17.235887987166898</v>
      </c>
      <c r="I1004" s="305">
        <f t="shared" ca="1" si="448"/>
        <v>58.271755100828955</v>
      </c>
      <c r="J1004" s="308">
        <f t="shared" ca="1" si="449"/>
        <v>2378.4261137962781</v>
      </c>
      <c r="K1004" s="309">
        <f t="shared" ca="1" si="450"/>
        <v>4255.4071357856101</v>
      </c>
      <c r="L1004" s="305">
        <f t="shared" ca="1" si="435"/>
        <v>4874.9769917491058</v>
      </c>
      <c r="M1004" s="308">
        <f t="shared" ca="1" si="451"/>
        <v>-0.30027676983485757</v>
      </c>
      <c r="N1004" s="305">
        <f t="shared" ca="1" si="452"/>
        <v>-17.204591597358569</v>
      </c>
      <c r="P1004" s="312">
        <f t="shared" ca="1" si="453"/>
        <v>23</v>
      </c>
      <c r="Q1004" s="305">
        <f t="shared" ca="1" si="454"/>
        <v>0</v>
      </c>
      <c r="R1004" s="308">
        <f t="shared" ca="1" si="455"/>
        <v>0</v>
      </c>
      <c r="S1004" s="309">
        <f t="shared" ca="1" si="456"/>
        <v>15.089040186296437</v>
      </c>
      <c r="T1004" s="305">
        <f t="shared" ca="1" si="436"/>
        <v>148.02348422756805</v>
      </c>
      <c r="U1004" s="313">
        <f t="shared" ca="1" si="437"/>
        <v>0</v>
      </c>
      <c r="V1004" s="308">
        <f t="shared" ca="1" si="438"/>
        <v>0.79516811038009971</v>
      </c>
      <c r="W1004" s="305">
        <f ca="1">1/2*Rho*Sref*Cx*vit_xz^2</f>
        <v>15.739894263694735</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f t="shared" ca="1" si="460"/>
        <v>28.000000000000014</v>
      </c>
      <c r="AD1004" s="325">
        <f t="shared" ca="1" si="461"/>
        <v>2378.4261137962781</v>
      </c>
      <c r="AE1004" s="326" t="e">
        <f t="shared" ca="1" si="440"/>
        <v>#N/A</v>
      </c>
      <c r="AG1004" s="308">
        <f t="shared" ca="1" si="462"/>
        <v>1.7132762165257482</v>
      </c>
      <c r="AH1004" s="305">
        <f t="shared" ca="1" si="463"/>
        <v>-1.0365557126499165</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266</v>
      </c>
    </row>
    <row r="1055" spans="5:20" x14ac:dyDescent="0.2">
      <c r="E1055" s="299" t="s">
        <v>250</v>
      </c>
    </row>
    <row r="1058" spans="5:20" x14ac:dyDescent="0.2">
      <c r="T1058" s="299" t="s">
        <v>267</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ColWidth="11.42578125"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98" t="s">
        <v>279</v>
      </c>
      <c r="D2" s="598"/>
      <c r="M2" s="75"/>
    </row>
    <row r="3" spans="1:13" ht="12.75" customHeight="1" x14ac:dyDescent="0.2">
      <c r="A3" s="56"/>
      <c r="B3" s="2"/>
      <c r="C3" s="598"/>
      <c r="D3" s="598"/>
      <c r="M3" s="75"/>
    </row>
    <row r="4" spans="1:13" x14ac:dyDescent="0.2">
      <c r="A4" s="56"/>
      <c r="B4" s="2"/>
      <c r="C4" s="603" t="str">
        <f>IF(Lang="Français","Abaques de performance",IF(Lang="English","Performance charts",""))</f>
        <v>Abaques de performance</v>
      </c>
      <c r="D4" s="603"/>
      <c r="M4" s="75"/>
    </row>
    <row r="5" spans="1:13" x14ac:dyDescent="0.2">
      <c r="A5" s="56"/>
      <c r="B5" s="2"/>
      <c r="C5" s="603" t="str">
        <f>IF(Lang="Français","Calcul analytique simple",IF(Lang="English","Analytical computation",""))</f>
        <v>Calcul analytique simple</v>
      </c>
      <c r="D5" s="603"/>
      <c r="M5" s="75"/>
    </row>
    <row r="6" spans="1:13" x14ac:dyDescent="0.2">
      <c r="A6" s="56"/>
      <c r="B6" s="87"/>
      <c r="C6" s="1"/>
      <c r="D6" s="1"/>
      <c r="M6" s="75"/>
    </row>
    <row r="7" spans="1:13" x14ac:dyDescent="0.2">
      <c r="A7" s="59"/>
      <c r="B7" s="6"/>
      <c r="C7" s="599" t="str">
        <f>IF(Lang="Français","Fusée",IF(Lang="English","Rocket",""))</f>
        <v>Fusée</v>
      </c>
      <c r="D7" s="599"/>
      <c r="M7" s="75"/>
    </row>
    <row r="8" spans="1:13" ht="15.75" x14ac:dyDescent="0.25">
      <c r="A8" s="59"/>
      <c r="B8" s="140" t="str">
        <f>IF(Lang="Français","Nom",IF(Lang="English","Name",""))</f>
        <v>Nom</v>
      </c>
      <c r="C8" s="600">
        <f>Nom</f>
        <v>0</v>
      </c>
      <c r="D8" s="600"/>
      <c r="M8" s="75"/>
    </row>
    <row r="9" spans="1:13" ht="15.75" x14ac:dyDescent="0.25">
      <c r="A9" s="59"/>
      <c r="B9" s="140" t="s">
        <v>4</v>
      </c>
      <c r="C9" s="600" t="str">
        <f>Club</f>
        <v>S&amp;T Sorbonne</v>
      </c>
      <c r="D9" s="600"/>
      <c r="M9" s="75"/>
    </row>
    <row r="10" spans="1:13" ht="15.75" x14ac:dyDescent="0.25">
      <c r="A10" s="59"/>
      <c r="B10" s="140" t="s">
        <v>561</v>
      </c>
      <c r="C10" s="666" t="str">
        <f>Matricule</f>
        <v>FX</v>
      </c>
      <c r="D10" s="667"/>
      <c r="M10" s="75"/>
    </row>
    <row r="11" spans="1:13" x14ac:dyDescent="0.2">
      <c r="A11" s="59"/>
      <c r="B11" s="140" t="str">
        <f>IF(Lang="Français","Masse sans propu",IF(Lang="English","Mass without M",""))</f>
        <v>Masse sans propu</v>
      </c>
      <c r="C11" s="662">
        <f ca="1">MasseSans</f>
        <v>10.424999999999999</v>
      </c>
      <c r="D11" s="662"/>
      <c r="M11" s="75"/>
    </row>
    <row r="12" spans="1:13" x14ac:dyDescent="0.2">
      <c r="A12" s="59"/>
      <c r="B12" s="140" t="str">
        <f>IF(Lang="Français","Masse totale",IF(Lang="English","Total mass",""))</f>
        <v>Masse totale</v>
      </c>
      <c r="C12" s="665" t="str">
        <f ca="1">MassePlein &amp; " kg ±" &amp; MasseSans &amp; " kg"</f>
        <v>23,673 kg ±10,425 kg</v>
      </c>
      <c r="D12" s="665"/>
      <c r="M12" s="75"/>
    </row>
    <row r="13" spans="1:13" x14ac:dyDescent="0.2">
      <c r="A13" s="59"/>
      <c r="B13" s="227" t="str">
        <f>IF(Lang="Français","Propulseur",IF(Lang="English","Motor",""))</f>
        <v>Propulseur</v>
      </c>
      <c r="C13" s="628" t="str">
        <f>Propu</f>
        <v>Pro98-6G Green</v>
      </c>
      <c r="D13" s="629"/>
      <c r="M13" s="75"/>
    </row>
    <row r="14" spans="1:13" x14ac:dyDescent="0.2">
      <c r="A14" s="59"/>
      <c r="B14" s="1"/>
      <c r="C14" s="1"/>
      <c r="D14" s="1"/>
      <c r="M14" s="75"/>
    </row>
    <row r="15" spans="1:13" x14ac:dyDescent="0.2">
      <c r="A15" s="74"/>
      <c r="C15" s="599" t="str">
        <f>IF(Lang="Français","Traînée Aérdynamique",IF(Lang="English","Drag",""))</f>
        <v>Traînée Aérdynamique</v>
      </c>
      <c r="D15" s="599"/>
      <c r="M15" s="75"/>
    </row>
    <row r="16" spans="1:13" x14ac:dyDescent="0.2">
      <c r="A16" s="74"/>
      <c r="B16" s="139" t="str">
        <f>IF(Lang="Français","Diamètre Ø",IF(Lang="English","Diameter Ø",""))</f>
        <v>Diamètre Ø</v>
      </c>
      <c r="C16" s="663">
        <f>D_ref</f>
        <v>150</v>
      </c>
      <c r="D16" s="663"/>
      <c r="M16" s="75"/>
    </row>
    <row r="17" spans="1:13" x14ac:dyDescent="0.2">
      <c r="A17" s="74"/>
      <c r="B17" s="140" t="s">
        <v>5</v>
      </c>
      <c r="C17" s="664">
        <f>Cx</f>
        <v>0.6</v>
      </c>
      <c r="D17" s="664"/>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283</v>
      </c>
      <c r="D41" s="134" t="s">
        <v>280</v>
      </c>
      <c r="E41" s="134" t="s">
        <v>284</v>
      </c>
      <c r="F41" s="134" t="s">
        <v>285</v>
      </c>
      <c r="G41" s="134" t="s">
        <v>13</v>
      </c>
      <c r="H41" s="134" t="s">
        <v>281</v>
      </c>
      <c r="I41" s="134" t="s">
        <v>282</v>
      </c>
      <c r="J41" s="134" t="s">
        <v>297</v>
      </c>
      <c r="K41" s="134" t="s">
        <v>298</v>
      </c>
      <c r="L41" s="134" t="s">
        <v>300</v>
      </c>
      <c r="M41" s="134" t="s">
        <v>288</v>
      </c>
    </row>
    <row r="42" spans="1:13" x14ac:dyDescent="0.2">
      <c r="B42" s="420" t="s">
        <v>289</v>
      </c>
      <c r="C42" s="170" t="s">
        <v>290</v>
      </c>
      <c r="D42" s="134" t="s">
        <v>291</v>
      </c>
      <c r="E42" s="134" t="s">
        <v>292</v>
      </c>
      <c r="F42" s="134" t="s">
        <v>293</v>
      </c>
      <c r="G42" s="134" t="s">
        <v>294</v>
      </c>
      <c r="H42" s="134" t="s">
        <v>295</v>
      </c>
      <c r="I42" s="134" t="s">
        <v>296</v>
      </c>
      <c r="J42" s="134" t="s">
        <v>286</v>
      </c>
      <c r="K42" s="134" t="s">
        <v>287</v>
      </c>
      <c r="L42" s="134"/>
      <c r="M42" s="134"/>
    </row>
    <row r="43" spans="1:13" x14ac:dyDescent="0.2">
      <c r="B43" s="425">
        <f t="shared" ref="B43:B51" ca="1" si="0">MAX(D_ref*0.5, Diam_propu)</f>
        <v>98</v>
      </c>
      <c r="C43" s="403">
        <f t="shared" ref="C43:C69" ca="1" si="1">1/2*Rho_moyen*PI()*D_var^2/4*Cx/10^6</f>
        <v>2.772039255766392E-3</v>
      </c>
      <c r="D43" s="400">
        <f ca="1">MpropuPlein+0*MasseSans</f>
        <v>13.247999999999999</v>
      </c>
      <c r="E43" s="400">
        <f t="shared" ref="E43:E69" ca="1" si="2">m_var - 0.5*m_poudre</f>
        <v>8.9559999999999995</v>
      </c>
      <c r="F43" s="400">
        <f t="shared" ref="F43:F69" ca="1" si="3">m_var - m_poudre</f>
        <v>4.6639999999999997</v>
      </c>
      <c r="G43" s="407">
        <f t="shared" ref="G43:G69" ca="1" si="4">MAX(0, (I_total/Temps_fin_propu)/m_prop-g)</f>
        <v>189.41364906905983</v>
      </c>
      <c r="H43" s="406">
        <f t="shared" ref="H43:H69" ca="1" si="5">Q_var/m_prop</f>
        <v>3.0951755870549266E-4</v>
      </c>
      <c r="I43" s="403">
        <f t="shared" ref="I43:I69" ca="1" si="6">Q_var/m_bal</f>
        <v>5.9434803940102744E-4</v>
      </c>
      <c r="J43" s="403">
        <f t="shared" ref="J43:J69" ca="1" si="7">1/(2*b_prop)*LN(  ((EXP(2*SQRT(a_prop*b_prop)*Temps_fin_propu)+1)^2)  /  (((1+1)^2)*EXP(2*SQRT(a_prop*b_prop)*Temps_fin_propu)))</f>
        <v>4085.2353144447588</v>
      </c>
      <c r="K43" s="410">
        <f t="shared" ref="K43:K69" ca="1" si="8">SQRT(a_prop/b_prop)  *  (EXP(2*SQRT(a_prop*b_prop)*Temps_fin_propu)-1)/(EXP(2*SQRT(a_prop*b_prop)*Temps_fin_propu)+1)</f>
        <v>750.44135799458877</v>
      </c>
      <c r="L43" s="413">
        <f t="shared" ref="L43:L69" ca="1" si="9">alt_prop + 1/(2*b_bal) * LN(1+b_bal/g*V_prop^2)</f>
        <v>7079.0725224484131</v>
      </c>
      <c r="M43" s="416">
        <f t="shared" ref="M43:M69" ca="1" si="10">Temps_fin_propu + ATAN(SQRT(b_bal/g)*V_prop)/SQRT(b_bal*g)</f>
        <v>26.350943680826905</v>
      </c>
    </row>
    <row r="44" spans="1:13" x14ac:dyDescent="0.2">
      <c r="B44" s="426">
        <f t="shared" ca="1" si="0"/>
        <v>98</v>
      </c>
      <c r="C44" s="404">
        <f t="shared" ca="1" si="1"/>
        <v>2.772039255766392E-3</v>
      </c>
      <c r="D44" s="401">
        <f ca="1">MpropuPlein+0.25*MasseSans</f>
        <v>15.854249999999999</v>
      </c>
      <c r="E44" s="401">
        <f t="shared" ca="1" si="2"/>
        <v>11.562249999999999</v>
      </c>
      <c r="F44" s="401">
        <f t="shared" ca="1" si="3"/>
        <v>7.270249999999999</v>
      </c>
      <c r="G44" s="408">
        <f t="shared" ca="1" si="4"/>
        <v>144.50659072088044</v>
      </c>
      <c r="H44" s="404">
        <f t="shared" ca="1" si="5"/>
        <v>2.3974911939859389E-4</v>
      </c>
      <c r="I44" s="404">
        <f t="shared" ca="1" si="6"/>
        <v>3.8128527296398229E-4</v>
      </c>
      <c r="J44" s="404">
        <f t="shared" ca="1" si="7"/>
        <v>3526.8080694929949</v>
      </c>
      <c r="K44" s="411">
        <f t="shared" ca="1" si="8"/>
        <v>701.17435982676375</v>
      </c>
      <c r="L44" s="414">
        <f t="shared" ca="1" si="9"/>
        <v>7462.3872848535502</v>
      </c>
      <c r="M44" s="417">
        <f t="shared" ca="1" si="10"/>
        <v>30.006686222715473</v>
      </c>
    </row>
    <row r="45" spans="1:13" x14ac:dyDescent="0.2">
      <c r="B45" s="426">
        <f t="shared" ca="1" si="0"/>
        <v>98</v>
      </c>
      <c r="C45" s="404">
        <f t="shared" ca="1" si="1"/>
        <v>2.772039255766392E-3</v>
      </c>
      <c r="D45" s="401">
        <f ca="1">MpropuPlein+0.5*MasseSans</f>
        <v>18.4605</v>
      </c>
      <c r="E45" s="401">
        <f t="shared" ca="1" si="2"/>
        <v>14.1685</v>
      </c>
      <c r="F45" s="401">
        <f t="shared" ca="1" si="3"/>
        <v>9.8765000000000001</v>
      </c>
      <c r="G45" s="408">
        <f t="shared" ca="1" si="4"/>
        <v>116.12055023908668</v>
      </c>
      <c r="H45" s="404">
        <f t="shared" ca="1" si="5"/>
        <v>1.9564804007244182E-4</v>
      </c>
      <c r="I45" s="404">
        <f t="shared" ca="1" si="6"/>
        <v>2.8067020257848346E-4</v>
      </c>
      <c r="J45" s="404">
        <f t="shared" ca="1" si="7"/>
        <v>3059.2973003988682</v>
      </c>
      <c r="K45" s="411">
        <f t="shared" ca="1" si="8"/>
        <v>643.60915332600018</v>
      </c>
      <c r="L45" s="414">
        <f t="shared" ca="1" si="9"/>
        <v>7608.1541493400609</v>
      </c>
      <c r="M45" s="417">
        <f t="shared" ca="1" si="10"/>
        <v>32.54799787380874</v>
      </c>
    </row>
    <row r="46" spans="1:13" x14ac:dyDescent="0.2">
      <c r="B46" s="426">
        <f t="shared" ca="1" si="0"/>
        <v>98</v>
      </c>
      <c r="C46" s="404">
        <f t="shared" ca="1" si="1"/>
        <v>2.772039255766392E-3</v>
      </c>
      <c r="D46" s="401">
        <f ca="1">MpropuPlein+0.75*MasseSans</f>
        <v>21.066749999999999</v>
      </c>
      <c r="E46" s="401">
        <f t="shared" ca="1" si="2"/>
        <v>16.774749999999997</v>
      </c>
      <c r="F46" s="401">
        <f t="shared" ca="1" si="3"/>
        <v>12.482749999999999</v>
      </c>
      <c r="G46" s="408">
        <f t="shared" ca="1" si="4"/>
        <v>96.555042761442053</v>
      </c>
      <c r="H46" s="404">
        <f t="shared" ca="1" si="5"/>
        <v>1.6525070452712515E-4</v>
      </c>
      <c r="I46" s="404">
        <f t="shared" ca="1" si="6"/>
        <v>2.2206959650448757E-4</v>
      </c>
      <c r="J46" s="404">
        <f t="shared" ca="1" si="7"/>
        <v>2673.6553281396878</v>
      </c>
      <c r="K46" s="411">
        <f t="shared" ca="1" si="8"/>
        <v>585.50937356173131</v>
      </c>
      <c r="L46" s="414">
        <f t="shared" ca="1" si="9"/>
        <v>7560.0718703103284</v>
      </c>
      <c r="M46" s="417">
        <f t="shared" ca="1" si="10"/>
        <v>34.270364431715699</v>
      </c>
    </row>
    <row r="47" spans="1:13" x14ac:dyDescent="0.2">
      <c r="B47" s="426">
        <f t="shared" ca="1" si="0"/>
        <v>98</v>
      </c>
      <c r="C47" s="404">
        <f t="shared" ca="1" si="1"/>
        <v>2.772039255766392E-3</v>
      </c>
      <c r="D47" s="401">
        <f ca="1">MpropuPlein+1*MasseSans</f>
        <v>23.672999999999998</v>
      </c>
      <c r="E47" s="401">
        <f t="shared" ca="1" si="2"/>
        <v>19.381</v>
      </c>
      <c r="F47" s="401">
        <f t="shared" ca="1" si="3"/>
        <v>15.088999999999999</v>
      </c>
      <c r="G47" s="408">
        <f t="shared" ca="1" si="4"/>
        <v>82.251658379985543</v>
      </c>
      <c r="H47" s="404">
        <f t="shared" ca="1" si="5"/>
        <v>1.4302870108696104E-4</v>
      </c>
      <c r="I47" s="404">
        <f t="shared" ca="1" si="6"/>
        <v>1.8371258902289032E-4</v>
      </c>
      <c r="J47" s="404">
        <f t="shared" ca="1" si="7"/>
        <v>2355.8767347297644</v>
      </c>
      <c r="K47" s="411">
        <f t="shared" ca="1" si="8"/>
        <v>530.99183989559106</v>
      </c>
      <c r="L47" s="414">
        <f t="shared" ca="1" si="9"/>
        <v>7356.6026116744042</v>
      </c>
      <c r="M47" s="417">
        <f t="shared" ca="1" si="10"/>
        <v>35.332336279773202</v>
      </c>
    </row>
    <row r="48" spans="1:13" x14ac:dyDescent="0.2">
      <c r="B48" s="426">
        <f t="shared" ca="1" si="0"/>
        <v>98</v>
      </c>
      <c r="C48" s="404">
        <f t="shared" ca="1" si="1"/>
        <v>2.772039255766392E-3</v>
      </c>
      <c r="D48" s="401">
        <f ca="1">MpropuPlein+1.25*MasseSans</f>
        <v>26.279249999999998</v>
      </c>
      <c r="E48" s="401">
        <f t="shared" ca="1" si="2"/>
        <v>21.987249999999996</v>
      </c>
      <c r="F48" s="401">
        <f t="shared" ca="1" si="3"/>
        <v>17.695249999999998</v>
      </c>
      <c r="G48" s="408">
        <f t="shared" ca="1" si="4"/>
        <v>71.339166042251762</v>
      </c>
      <c r="H48" s="404">
        <f t="shared" ca="1" si="5"/>
        <v>1.2607485045953418E-4</v>
      </c>
      <c r="I48" s="404">
        <f t="shared" ca="1" si="6"/>
        <v>1.5665442736137621E-4</v>
      </c>
      <c r="J48" s="404">
        <f t="shared" ca="1" si="7"/>
        <v>2092.5054853776364</v>
      </c>
      <c r="K48" s="411">
        <f t="shared" ca="1" si="8"/>
        <v>481.65844294484691</v>
      </c>
      <c r="L48" s="414">
        <f t="shared" ca="1" si="9"/>
        <v>7035.1048663596439</v>
      </c>
      <c r="M48" s="417">
        <f t="shared" ca="1" si="10"/>
        <v>35.846550590060431</v>
      </c>
    </row>
    <row r="49" spans="2:13" x14ac:dyDescent="0.2">
      <c r="B49" s="426">
        <f t="shared" ca="1" si="0"/>
        <v>98</v>
      </c>
      <c r="C49" s="404">
        <f t="shared" ca="1" si="1"/>
        <v>2.772039255766392E-3</v>
      </c>
      <c r="D49" s="401">
        <f ca="1">MpropuPlein+1.5*MasseSans</f>
        <v>28.8855</v>
      </c>
      <c r="E49" s="401">
        <f t="shared" ca="1" si="2"/>
        <v>24.593499999999999</v>
      </c>
      <c r="F49" s="401">
        <f t="shared" ca="1" si="3"/>
        <v>20.301500000000001</v>
      </c>
      <c r="G49" s="408">
        <f t="shared" ca="1" si="4"/>
        <v>62.73953548956024</v>
      </c>
      <c r="H49" s="404">
        <f t="shared" ca="1" si="5"/>
        <v>1.1271430482714507E-4</v>
      </c>
      <c r="I49" s="404">
        <f t="shared" ca="1" si="6"/>
        <v>1.3654356849328336E-4</v>
      </c>
      <c r="J49" s="404">
        <f t="shared" ca="1" si="7"/>
        <v>1872.3110287407953</v>
      </c>
      <c r="K49" s="411">
        <f t="shared" ca="1" si="8"/>
        <v>437.78224573668729</v>
      </c>
      <c r="L49" s="414">
        <f t="shared" ca="1" si="9"/>
        <v>6630.989390969452</v>
      </c>
      <c r="M49" s="417">
        <f t="shared" ca="1" si="10"/>
        <v>35.907968787946452</v>
      </c>
    </row>
    <row r="50" spans="2:13" x14ac:dyDescent="0.2">
      <c r="B50" s="426">
        <f t="shared" ca="1" si="0"/>
        <v>98</v>
      </c>
      <c r="C50" s="404">
        <f t="shared" ca="1" si="1"/>
        <v>2.772039255766392E-3</v>
      </c>
      <c r="D50" s="401">
        <f ca="1">MpropuPlein+1.75*MasseSans</f>
        <v>31.491749999999996</v>
      </c>
      <c r="E50" s="401">
        <f t="shared" ca="1" si="2"/>
        <v>27.199749999999995</v>
      </c>
      <c r="F50" s="401">
        <f t="shared" ca="1" si="3"/>
        <v>22.907749999999997</v>
      </c>
      <c r="G50" s="408">
        <f t="shared" ca="1" si="4"/>
        <v>55.787919137583984</v>
      </c>
      <c r="H50" s="404">
        <f t="shared" ca="1" si="5"/>
        <v>1.0191414464347623E-4</v>
      </c>
      <c r="I50" s="404">
        <f t="shared" ca="1" si="6"/>
        <v>1.2100879640149699E-4</v>
      </c>
      <c r="J50" s="404">
        <f t="shared" ca="1" si="7"/>
        <v>1686.4140526781914</v>
      </c>
      <c r="K50" s="411">
        <f t="shared" ca="1" si="8"/>
        <v>399.03796292458992</v>
      </c>
      <c r="L50" s="414">
        <f t="shared" ca="1" si="9"/>
        <v>6176.1410726797494</v>
      </c>
      <c r="M50" s="417">
        <f t="shared" ca="1" si="10"/>
        <v>35.60319847646592</v>
      </c>
    </row>
    <row r="51" spans="2:13" x14ac:dyDescent="0.2">
      <c r="B51" s="427">
        <f t="shared" ca="1" si="0"/>
        <v>98</v>
      </c>
      <c r="C51" s="405">
        <f t="shared" ca="1" si="1"/>
        <v>2.772039255766392E-3</v>
      </c>
      <c r="D51" s="402">
        <f ca="1">MpropuPlein+2*MasseSans</f>
        <v>34.097999999999999</v>
      </c>
      <c r="E51" s="402">
        <f t="shared" ca="1" si="2"/>
        <v>29.805999999999997</v>
      </c>
      <c r="F51" s="402">
        <f t="shared" ca="1" si="3"/>
        <v>25.513999999999999</v>
      </c>
      <c r="G51" s="409">
        <f t="shared" ca="1" si="4"/>
        <v>50.052007685113729</v>
      </c>
      <c r="H51" s="405">
        <f t="shared" ca="1" si="5"/>
        <v>9.3002726154680008E-5</v>
      </c>
      <c r="I51" s="405">
        <f t="shared" ca="1" si="6"/>
        <v>1.0864777203756339E-4</v>
      </c>
      <c r="J51" s="405">
        <f t="shared" ca="1" si="7"/>
        <v>1527.933540583417</v>
      </c>
      <c r="K51" s="412">
        <f t="shared" ca="1" si="8"/>
        <v>364.88099563128782</v>
      </c>
      <c r="L51" s="415">
        <f t="shared" ca="1" si="9"/>
        <v>5697.6068490236903</v>
      </c>
      <c r="M51" s="418">
        <f t="shared" ca="1" si="10"/>
        <v>35.01245738552845</v>
      </c>
    </row>
    <row r="52" spans="2:13" x14ac:dyDescent="0.2">
      <c r="B52" s="425">
        <f t="shared" ref="B52:B60" si="11">D_ref</f>
        <v>150</v>
      </c>
      <c r="C52" s="403">
        <f t="shared" si="1"/>
        <v>6.4942610635926514E-3</v>
      </c>
      <c r="D52" s="400">
        <f ca="1">MpropuPlein+0*MasseSans</f>
        <v>13.247999999999999</v>
      </c>
      <c r="E52" s="400">
        <f t="shared" ca="1" si="2"/>
        <v>8.9559999999999995</v>
      </c>
      <c r="F52" s="400">
        <f t="shared" ca="1" si="3"/>
        <v>4.6639999999999997</v>
      </c>
      <c r="G52" s="407">
        <f t="shared" ca="1" si="4"/>
        <v>189.41364906905983</v>
      </c>
      <c r="H52" s="403">
        <f t="shared" ca="1" si="5"/>
        <v>7.2512964086563771E-4</v>
      </c>
      <c r="I52" s="403">
        <f t="shared" ca="1" si="6"/>
        <v>1.3924230410790419E-3</v>
      </c>
      <c r="J52" s="403">
        <f t="shared" ca="1" si="7"/>
        <v>3136.4922446265755</v>
      </c>
      <c r="K52" s="410">
        <f t="shared" ca="1" si="8"/>
        <v>508.37946869817569</v>
      </c>
      <c r="L52" s="413">
        <f t="shared" ca="1" si="9"/>
        <v>4439.7021490752113</v>
      </c>
      <c r="M52" s="416">
        <f t="shared" ca="1" si="10"/>
        <v>20.039975757275649</v>
      </c>
    </row>
    <row r="53" spans="2:13" x14ac:dyDescent="0.2">
      <c r="B53" s="426">
        <f t="shared" si="11"/>
        <v>150</v>
      </c>
      <c r="C53" s="404">
        <f t="shared" si="1"/>
        <v>6.4942610635926514E-3</v>
      </c>
      <c r="D53" s="401">
        <f ca="1">MpropuPlein+0.25*MasseSans</f>
        <v>15.854249999999999</v>
      </c>
      <c r="E53" s="401">
        <f t="shared" ca="1" si="2"/>
        <v>11.562249999999999</v>
      </c>
      <c r="F53" s="401">
        <f t="shared" ca="1" si="3"/>
        <v>7.270249999999999</v>
      </c>
      <c r="G53" s="408">
        <f t="shared" ca="1" si="4"/>
        <v>144.50659072088044</v>
      </c>
      <c r="H53" s="404">
        <f t="shared" ca="1" si="5"/>
        <v>5.6167796610457753E-4</v>
      </c>
      <c r="I53" s="404">
        <f t="shared" ca="1" si="6"/>
        <v>8.9326516469071242E-4</v>
      </c>
      <c r="J53" s="404">
        <f t="shared" ca="1" si="7"/>
        <v>2842.2902077069348</v>
      </c>
      <c r="K53" s="411">
        <f t="shared" ca="1" si="8"/>
        <v>496.70387675787509</v>
      </c>
      <c r="L53" s="414">
        <f t="shared" ca="1" si="9"/>
        <v>4608.5686999859681</v>
      </c>
      <c r="M53" s="417">
        <f t="shared" ca="1" si="10"/>
        <v>22.558866106366054</v>
      </c>
    </row>
    <row r="54" spans="2:13" x14ac:dyDescent="0.2">
      <c r="B54" s="426">
        <f t="shared" si="11"/>
        <v>150</v>
      </c>
      <c r="C54" s="404">
        <f t="shared" si="1"/>
        <v>6.4942610635926514E-3</v>
      </c>
      <c r="D54" s="401">
        <f ca="1">MpropuPlein+0.5*MasseSans</f>
        <v>18.4605</v>
      </c>
      <c r="E54" s="401">
        <f t="shared" ca="1" si="2"/>
        <v>14.1685</v>
      </c>
      <c r="F54" s="401">
        <f t="shared" ca="1" si="3"/>
        <v>9.8765000000000001</v>
      </c>
      <c r="G54" s="408">
        <f t="shared" ca="1" si="4"/>
        <v>116.12055023908668</v>
      </c>
      <c r="H54" s="404">
        <f t="shared" ca="1" si="5"/>
        <v>4.5835911095688683E-4</v>
      </c>
      <c r="I54" s="404">
        <f t="shared" ca="1" si="6"/>
        <v>6.5754680945604728E-4</v>
      </c>
      <c r="J54" s="404">
        <f t="shared" ca="1" si="7"/>
        <v>2568.136689701952</v>
      </c>
      <c r="K54" s="411">
        <f t="shared" ca="1" si="8"/>
        <v>478.83351718351247</v>
      </c>
      <c r="L54" s="414">
        <f t="shared" ca="1" si="9"/>
        <v>4693.7256908465224</v>
      </c>
      <c r="M54" s="417">
        <f t="shared" ca="1" si="10"/>
        <v>24.448148123980822</v>
      </c>
    </row>
    <row r="55" spans="2:13" x14ac:dyDescent="0.2">
      <c r="B55" s="426">
        <f t="shared" si="11"/>
        <v>150</v>
      </c>
      <c r="C55" s="404">
        <f t="shared" si="1"/>
        <v>6.4942610635926514E-3</v>
      </c>
      <c r="D55" s="401">
        <f ca="1">MpropuPlein+0.75*MasseSans</f>
        <v>21.066749999999999</v>
      </c>
      <c r="E55" s="401">
        <f t="shared" ca="1" si="2"/>
        <v>16.774749999999997</v>
      </c>
      <c r="F55" s="401">
        <f t="shared" ca="1" si="3"/>
        <v>12.482749999999999</v>
      </c>
      <c r="G55" s="408">
        <f t="shared" ca="1" si="4"/>
        <v>96.555042761442053</v>
      </c>
      <c r="H55" s="404">
        <f t="shared" ca="1" si="5"/>
        <v>3.8714502830698835E-4</v>
      </c>
      <c r="I55" s="404">
        <f t="shared" ca="1" si="6"/>
        <v>5.2025884228977201E-4</v>
      </c>
      <c r="J55" s="404">
        <f t="shared" ca="1" si="7"/>
        <v>2319.3606558763786</v>
      </c>
      <c r="K55" s="411">
        <f t="shared" ca="1" si="8"/>
        <v>456.07636798809341</v>
      </c>
      <c r="L55" s="414">
        <f t="shared" ca="1" si="9"/>
        <v>4710.0064997132977</v>
      </c>
      <c r="M55" s="417">
        <f t="shared" ca="1" si="10"/>
        <v>25.893860817593691</v>
      </c>
    </row>
    <row r="56" spans="2:13" x14ac:dyDescent="0.2">
      <c r="B56" s="426">
        <f t="shared" si="11"/>
        <v>150</v>
      </c>
      <c r="C56" s="404">
        <f t="shared" si="1"/>
        <v>6.4942610635926514E-3</v>
      </c>
      <c r="D56" s="401">
        <f ca="1">MpropuPlein+1*MasseSans</f>
        <v>23.672999999999998</v>
      </c>
      <c r="E56" s="401">
        <f t="shared" ca="1" si="2"/>
        <v>19.381</v>
      </c>
      <c r="F56" s="401">
        <f t="shared" ca="1" si="3"/>
        <v>15.088999999999999</v>
      </c>
      <c r="G56" s="408">
        <f t="shared" ca="1" si="4"/>
        <v>82.251658379985543</v>
      </c>
      <c r="H56" s="404">
        <f t="shared" ca="1" si="5"/>
        <v>3.3508389988094788E-4</v>
      </c>
      <c r="I56" s="404">
        <f t="shared" ca="1" si="6"/>
        <v>4.3039704841889135E-4</v>
      </c>
      <c r="J56" s="404">
        <f t="shared" ca="1" si="7"/>
        <v>2097.486795083265</v>
      </c>
      <c r="K56" s="411">
        <f t="shared" ca="1" si="8"/>
        <v>430.43797746800067</v>
      </c>
      <c r="L56" s="414">
        <f t="shared" ca="1" si="9"/>
        <v>4666.5378761688644</v>
      </c>
      <c r="M56" s="417">
        <f t="shared" ca="1" si="10"/>
        <v>26.982603091329416</v>
      </c>
    </row>
    <row r="57" spans="2:13" x14ac:dyDescent="0.2">
      <c r="B57" s="426">
        <f t="shared" si="11"/>
        <v>150</v>
      </c>
      <c r="C57" s="404">
        <f t="shared" si="1"/>
        <v>6.4942610635926514E-3</v>
      </c>
      <c r="D57" s="401">
        <f ca="1">MpropuPlein+1.25*MasseSans</f>
        <v>26.279249999999998</v>
      </c>
      <c r="E57" s="401">
        <f t="shared" ca="1" si="2"/>
        <v>21.987249999999996</v>
      </c>
      <c r="F57" s="401">
        <f t="shared" ca="1" si="3"/>
        <v>17.695249999999998</v>
      </c>
      <c r="G57" s="408">
        <f t="shared" ca="1" si="4"/>
        <v>71.339166042251762</v>
      </c>
      <c r="H57" s="404">
        <f t="shared" ca="1" si="5"/>
        <v>2.9536486207200319E-4</v>
      </c>
      <c r="I57" s="404">
        <f t="shared" ca="1" si="6"/>
        <v>3.6700589500530663E-4</v>
      </c>
      <c r="J57" s="404">
        <f t="shared" ca="1" si="7"/>
        <v>1901.4981542898365</v>
      </c>
      <c r="K57" s="411">
        <f t="shared" ca="1" si="8"/>
        <v>403.70822042063696</v>
      </c>
      <c r="L57" s="414">
        <f t="shared" ca="1" si="9"/>
        <v>4571.3703954030279</v>
      </c>
      <c r="M57" s="417">
        <f t="shared" ca="1" si="10"/>
        <v>27.765879771232555</v>
      </c>
    </row>
    <row r="58" spans="2:13" x14ac:dyDescent="0.2">
      <c r="B58" s="426">
        <f t="shared" si="11"/>
        <v>150</v>
      </c>
      <c r="C58" s="404">
        <f t="shared" si="1"/>
        <v>6.4942610635926514E-3</v>
      </c>
      <c r="D58" s="401">
        <f ca="1">MpropuPlein+1.5*MasseSans</f>
        <v>28.8855</v>
      </c>
      <c r="E58" s="401">
        <f t="shared" ca="1" si="2"/>
        <v>24.593499999999999</v>
      </c>
      <c r="F58" s="401">
        <f t="shared" ca="1" si="3"/>
        <v>20.301500000000001</v>
      </c>
      <c r="G58" s="408">
        <f t="shared" ca="1" si="4"/>
        <v>62.73953548956024</v>
      </c>
      <c r="H58" s="404">
        <f t="shared" ca="1" si="5"/>
        <v>2.6406412521977969E-4</v>
      </c>
      <c r="I58" s="404">
        <f t="shared" ca="1" si="6"/>
        <v>3.1989070086410615E-4</v>
      </c>
      <c r="J58" s="404">
        <f t="shared" ca="1" si="7"/>
        <v>1729.0918158727839</v>
      </c>
      <c r="K58" s="411">
        <f t="shared" ca="1" si="8"/>
        <v>377.1728326559782</v>
      </c>
      <c r="L58" s="414">
        <f t="shared" ca="1" si="9"/>
        <v>4432.6495994786828</v>
      </c>
      <c r="M58" s="417">
        <f t="shared" ca="1" si="10"/>
        <v>28.280961937771419</v>
      </c>
    </row>
    <row r="59" spans="2:13" x14ac:dyDescent="0.2">
      <c r="B59" s="426">
        <f t="shared" si="11"/>
        <v>150</v>
      </c>
      <c r="C59" s="404">
        <f t="shared" si="1"/>
        <v>6.4942610635926514E-3</v>
      </c>
      <c r="D59" s="401">
        <f ca="1">MpropuPlein+1.75*MasseSans</f>
        <v>31.491749999999996</v>
      </c>
      <c r="E59" s="401">
        <f t="shared" ca="1" si="2"/>
        <v>27.199749999999995</v>
      </c>
      <c r="F59" s="401">
        <f t="shared" ca="1" si="3"/>
        <v>22.907749999999997</v>
      </c>
      <c r="G59" s="408">
        <f t="shared" ca="1" si="4"/>
        <v>55.787919137583984</v>
      </c>
      <c r="H59" s="404">
        <f t="shared" ca="1" si="5"/>
        <v>2.387617924279691E-4</v>
      </c>
      <c r="I59" s="404">
        <f t="shared" ca="1" si="6"/>
        <v>2.834962431313705E-4</v>
      </c>
      <c r="J59" s="404">
        <f t="shared" ca="1" si="7"/>
        <v>1577.5151017693513</v>
      </c>
      <c r="K59" s="411">
        <f t="shared" ca="1" si="8"/>
        <v>351.6361214301503</v>
      </c>
      <c r="L59" s="414">
        <f t="shared" ca="1" si="9"/>
        <v>4258.7278090419213</v>
      </c>
      <c r="M59" s="417">
        <f t="shared" ca="1" si="10"/>
        <v>28.55910976688379</v>
      </c>
    </row>
    <row r="60" spans="2:13" x14ac:dyDescent="0.2">
      <c r="B60" s="427">
        <f t="shared" si="11"/>
        <v>150</v>
      </c>
      <c r="C60" s="405">
        <f t="shared" si="1"/>
        <v>6.4942610635926514E-3</v>
      </c>
      <c r="D60" s="402">
        <f ca="1">MpropuPlein+2*MasseSans</f>
        <v>34.097999999999999</v>
      </c>
      <c r="E60" s="402">
        <f t="shared" ca="1" si="2"/>
        <v>29.805999999999997</v>
      </c>
      <c r="F60" s="402">
        <f t="shared" ca="1" si="3"/>
        <v>25.513999999999999</v>
      </c>
      <c r="G60" s="409">
        <f t="shared" ca="1" si="4"/>
        <v>50.052007685113729</v>
      </c>
      <c r="H60" s="405">
        <f t="shared" ca="1" si="5"/>
        <v>2.1788435427741568E-4</v>
      </c>
      <c r="I60" s="405">
        <f t="shared" ca="1" si="6"/>
        <v>2.5453715856363769E-4</v>
      </c>
      <c r="J60" s="405">
        <f t="shared" ca="1" si="7"/>
        <v>1444.0258866127008</v>
      </c>
      <c r="K60" s="412">
        <f t="shared" ca="1" si="8"/>
        <v>327.53896272149069</v>
      </c>
      <c r="L60" s="415">
        <f t="shared" ca="1" si="9"/>
        <v>4057.9431215195946</v>
      </c>
      <c r="M60" s="418">
        <f t="shared" ca="1" si="10"/>
        <v>28.629126653239243</v>
      </c>
    </row>
    <row r="61" spans="2:13" x14ac:dyDescent="0.2">
      <c r="B61" s="425">
        <f t="shared" ref="B61:B69" si="12">D_ref*1.5</f>
        <v>225</v>
      </c>
      <c r="C61" s="403">
        <f t="shared" si="1"/>
        <v>1.4612087393083464E-2</v>
      </c>
      <c r="D61" s="400">
        <f ca="1">MpropuPlein+0*MasseSans</f>
        <v>13.247999999999999</v>
      </c>
      <c r="E61" s="400">
        <f t="shared" ca="1" si="2"/>
        <v>8.9559999999999995</v>
      </c>
      <c r="F61" s="400">
        <f t="shared" ca="1" si="3"/>
        <v>4.6639999999999997</v>
      </c>
      <c r="G61" s="407">
        <f t="shared" ca="1" si="4"/>
        <v>189.41364906905983</v>
      </c>
      <c r="H61" s="403">
        <f t="shared" ca="1" si="5"/>
        <v>1.6315416919476847E-3</v>
      </c>
      <c r="I61" s="403">
        <f t="shared" ca="1" si="6"/>
        <v>3.1329518424278442E-3</v>
      </c>
      <c r="J61" s="403">
        <f t="shared" ca="1" si="7"/>
        <v>2301.0581883336172</v>
      </c>
      <c r="K61" s="410">
        <f t="shared" ca="1" si="8"/>
        <v>340.63356189313731</v>
      </c>
      <c r="L61" s="413">
        <f t="shared" ca="1" si="9"/>
        <v>2881.8301387204101</v>
      </c>
      <c r="M61" s="416">
        <f t="shared" ca="1" si="10"/>
        <v>16.031263991664794</v>
      </c>
    </row>
    <row r="62" spans="2:13" x14ac:dyDescent="0.2">
      <c r="B62" s="426">
        <f t="shared" si="12"/>
        <v>225</v>
      </c>
      <c r="C62" s="404">
        <f t="shared" si="1"/>
        <v>1.4612087393083464E-2</v>
      </c>
      <c r="D62" s="401">
        <f ca="1">MpropuPlein+0.25*MasseSans</f>
        <v>15.854249999999999</v>
      </c>
      <c r="E62" s="401">
        <f t="shared" ca="1" si="2"/>
        <v>11.562249999999999</v>
      </c>
      <c r="F62" s="401">
        <f t="shared" ca="1" si="3"/>
        <v>7.270249999999999</v>
      </c>
      <c r="G62" s="408">
        <f t="shared" ca="1" si="4"/>
        <v>144.50659072088044</v>
      </c>
      <c r="H62" s="404">
        <f t="shared" ca="1" si="5"/>
        <v>1.2637754237352994E-3</v>
      </c>
      <c r="I62" s="404">
        <f t="shared" ca="1" si="6"/>
        <v>2.0098466205541029E-3</v>
      </c>
      <c r="J62" s="404">
        <f t="shared" ca="1" si="7"/>
        <v>2157.5717945426668</v>
      </c>
      <c r="K62" s="411">
        <f t="shared" ca="1" si="8"/>
        <v>337.42486956752759</v>
      </c>
      <c r="L62" s="414">
        <f t="shared" ca="1" si="9"/>
        <v>2951.5535239698074</v>
      </c>
      <c r="M62" s="417">
        <f t="shared" ca="1" si="10"/>
        <v>17.732743221157413</v>
      </c>
    </row>
    <row r="63" spans="2:13" x14ac:dyDescent="0.2">
      <c r="B63" s="426">
        <f t="shared" si="12"/>
        <v>225</v>
      </c>
      <c r="C63" s="404">
        <f t="shared" si="1"/>
        <v>1.4612087393083464E-2</v>
      </c>
      <c r="D63" s="401">
        <f ca="1">MpropuPlein+0.5*MasseSans</f>
        <v>18.4605</v>
      </c>
      <c r="E63" s="401">
        <f t="shared" ca="1" si="2"/>
        <v>14.1685</v>
      </c>
      <c r="F63" s="401">
        <f t="shared" ca="1" si="3"/>
        <v>9.8765000000000001</v>
      </c>
      <c r="G63" s="408">
        <f t="shared" ca="1" si="4"/>
        <v>116.12055023908668</v>
      </c>
      <c r="H63" s="404">
        <f t="shared" ca="1" si="5"/>
        <v>1.0313079996529953E-3</v>
      </c>
      <c r="I63" s="404">
        <f t="shared" ca="1" si="6"/>
        <v>1.4794803212761064E-3</v>
      </c>
      <c r="J63" s="404">
        <f t="shared" ca="1" si="7"/>
        <v>2016.1258269430136</v>
      </c>
      <c r="K63" s="411">
        <f t="shared" ca="1" si="8"/>
        <v>332.91954587946378</v>
      </c>
      <c r="L63" s="414">
        <f t="shared" ca="1" si="9"/>
        <v>2987.561073288527</v>
      </c>
      <c r="M63" s="417">
        <f t="shared" ca="1" si="10"/>
        <v>19.047427813618491</v>
      </c>
    </row>
    <row r="64" spans="2:13" x14ac:dyDescent="0.2">
      <c r="B64" s="426">
        <f t="shared" si="12"/>
        <v>225</v>
      </c>
      <c r="C64" s="404">
        <f t="shared" si="1"/>
        <v>1.4612087393083464E-2</v>
      </c>
      <c r="D64" s="401">
        <f ca="1">MpropuPlein+0.75*MasseSans</f>
        <v>21.066749999999999</v>
      </c>
      <c r="E64" s="401">
        <f t="shared" ca="1" si="2"/>
        <v>16.774749999999997</v>
      </c>
      <c r="F64" s="401">
        <f t="shared" ca="1" si="3"/>
        <v>12.482749999999999</v>
      </c>
      <c r="G64" s="408">
        <f t="shared" ca="1" si="4"/>
        <v>96.555042761442053</v>
      </c>
      <c r="H64" s="404">
        <f t="shared" ca="1" si="5"/>
        <v>8.710763136907236E-4</v>
      </c>
      <c r="I64" s="404">
        <f t="shared" ca="1" si="6"/>
        <v>1.170582395151987E-3</v>
      </c>
      <c r="J64" s="404">
        <f t="shared" ca="1" si="7"/>
        <v>1878.7749086525464</v>
      </c>
      <c r="K64" s="411">
        <f t="shared" ca="1" si="8"/>
        <v>326.56686990555647</v>
      </c>
      <c r="L64" s="414">
        <f t="shared" ca="1" si="9"/>
        <v>2997.5600933134806</v>
      </c>
      <c r="M64" s="417">
        <f t="shared" ca="1" si="10"/>
        <v>20.10785926659943</v>
      </c>
    </row>
    <row r="65" spans="2:13" x14ac:dyDescent="0.2">
      <c r="B65" s="426">
        <f t="shared" si="12"/>
        <v>225</v>
      </c>
      <c r="C65" s="404">
        <f t="shared" si="1"/>
        <v>1.4612087393083464E-2</v>
      </c>
      <c r="D65" s="401">
        <f ca="1">MpropuPlein+1*MasseSans</f>
        <v>23.672999999999998</v>
      </c>
      <c r="E65" s="401">
        <f t="shared" ca="1" si="2"/>
        <v>19.381</v>
      </c>
      <c r="F65" s="401">
        <f t="shared" ca="1" si="3"/>
        <v>15.088999999999999</v>
      </c>
      <c r="G65" s="408">
        <f t="shared" ca="1" si="4"/>
        <v>82.251658379985543</v>
      </c>
      <c r="H65" s="404">
        <f t="shared" ca="1" si="5"/>
        <v>7.5393877473213273E-4</v>
      </c>
      <c r="I65" s="404">
        <f t="shared" ca="1" si="6"/>
        <v>9.683933589425055E-4</v>
      </c>
      <c r="J65" s="404">
        <f t="shared" ca="1" si="7"/>
        <v>1747.4550252114461</v>
      </c>
      <c r="K65" s="411">
        <f t="shared" ca="1" si="8"/>
        <v>318.23149615886496</v>
      </c>
      <c r="L65" s="414">
        <f t="shared" ca="1" si="9"/>
        <v>2985.3927294738405</v>
      </c>
      <c r="M65" s="417">
        <f t="shared" ca="1" si="10"/>
        <v>20.973288045093355</v>
      </c>
    </row>
    <row r="66" spans="2:13" x14ac:dyDescent="0.2">
      <c r="B66" s="426">
        <f t="shared" si="12"/>
        <v>225</v>
      </c>
      <c r="C66" s="404">
        <f t="shared" si="1"/>
        <v>1.4612087393083464E-2</v>
      </c>
      <c r="D66" s="401">
        <f ca="1">MpropuPlein+1.25*MasseSans</f>
        <v>26.279249999999998</v>
      </c>
      <c r="E66" s="401">
        <f t="shared" ca="1" si="2"/>
        <v>21.987249999999996</v>
      </c>
      <c r="F66" s="401">
        <f t="shared" ca="1" si="3"/>
        <v>17.695249999999998</v>
      </c>
      <c r="G66" s="408">
        <f t="shared" ca="1" si="4"/>
        <v>71.339166042251762</v>
      </c>
      <c r="H66" s="404">
        <f t="shared" ca="1" si="5"/>
        <v>6.6457093966200713E-4</v>
      </c>
      <c r="I66" s="404">
        <f t="shared" ca="1" si="6"/>
        <v>8.2576326376193989E-4</v>
      </c>
      <c r="J66" s="404">
        <f t="shared" ca="1" si="7"/>
        <v>1623.5848921464067</v>
      </c>
      <c r="K66" s="411">
        <f t="shared" ca="1" si="8"/>
        <v>308.12560672794257</v>
      </c>
      <c r="L66" s="414">
        <f t="shared" ca="1" si="9"/>
        <v>2953.4502951513841</v>
      </c>
      <c r="M66" s="417">
        <f t="shared" ca="1" si="10"/>
        <v>21.674903418961662</v>
      </c>
    </row>
    <row r="67" spans="2:13" x14ac:dyDescent="0.2">
      <c r="B67" s="426">
        <f t="shared" si="12"/>
        <v>225</v>
      </c>
      <c r="C67" s="404">
        <f t="shared" si="1"/>
        <v>1.4612087393083464E-2</v>
      </c>
      <c r="D67" s="401">
        <f ca="1">MpropuPlein+1.5*MasseSans</f>
        <v>28.8855</v>
      </c>
      <c r="E67" s="401">
        <f t="shared" ca="1" si="2"/>
        <v>24.593499999999999</v>
      </c>
      <c r="F67" s="401">
        <f t="shared" ca="1" si="3"/>
        <v>20.301500000000001</v>
      </c>
      <c r="G67" s="408">
        <f t="shared" ca="1" si="4"/>
        <v>62.73953548956024</v>
      </c>
      <c r="H67" s="404">
        <f t="shared" ca="1" si="5"/>
        <v>5.9414428174450425E-4</v>
      </c>
      <c r="I67" s="404">
        <f t="shared" ca="1" si="6"/>
        <v>7.1975407694423882E-4</v>
      </c>
      <c r="J67" s="404">
        <f t="shared" ca="1" si="7"/>
        <v>1507.9740055190691</v>
      </c>
      <c r="K67" s="411">
        <f t="shared" ca="1" si="8"/>
        <v>296.64738693872835</v>
      </c>
      <c r="L67" s="414">
        <f t="shared" ca="1" si="9"/>
        <v>2903.6480668728454</v>
      </c>
      <c r="M67" s="417">
        <f t="shared" ca="1" si="10"/>
        <v>22.231614024801942</v>
      </c>
    </row>
    <row r="68" spans="2:13" x14ac:dyDescent="0.2">
      <c r="B68" s="426">
        <f t="shared" si="12"/>
        <v>225</v>
      </c>
      <c r="C68" s="404">
        <f t="shared" si="1"/>
        <v>1.4612087393083464E-2</v>
      </c>
      <c r="D68" s="401">
        <f ca="1">MpropuPlein+1.75*MasseSans</f>
        <v>31.491749999999996</v>
      </c>
      <c r="E68" s="401">
        <f t="shared" ca="1" si="2"/>
        <v>27.199749999999995</v>
      </c>
      <c r="F68" s="401">
        <f t="shared" ca="1" si="3"/>
        <v>22.907749999999997</v>
      </c>
      <c r="G68" s="408">
        <f t="shared" ca="1" si="4"/>
        <v>55.787919137583984</v>
      </c>
      <c r="H68" s="404">
        <f t="shared" ca="1" si="5"/>
        <v>5.372140329629304E-4</v>
      </c>
      <c r="I68" s="404">
        <f t="shared" ca="1" si="6"/>
        <v>6.3786654704558359E-4</v>
      </c>
      <c r="J68" s="404">
        <f t="shared" ca="1" si="7"/>
        <v>1400.9031141980267</v>
      </c>
      <c r="K68" s="411">
        <f t="shared" ca="1" si="8"/>
        <v>284.24438136136928</v>
      </c>
      <c r="L68" s="414">
        <f t="shared" ca="1" si="9"/>
        <v>2837.8285233170618</v>
      </c>
      <c r="M68" s="417">
        <f t="shared" ca="1" si="10"/>
        <v>22.656620223506525</v>
      </c>
    </row>
    <row r="69" spans="2:13" x14ac:dyDescent="0.2">
      <c r="B69" s="427">
        <f t="shared" si="12"/>
        <v>225</v>
      </c>
      <c r="C69" s="405">
        <f t="shared" si="1"/>
        <v>1.4612087393083464E-2</v>
      </c>
      <c r="D69" s="402">
        <f ca="1">MpropuPlein+2*MasseSans</f>
        <v>34.097999999999999</v>
      </c>
      <c r="E69" s="402">
        <f t="shared" ca="1" si="2"/>
        <v>29.805999999999997</v>
      </c>
      <c r="F69" s="402">
        <f t="shared" ca="1" si="3"/>
        <v>25.513999999999999</v>
      </c>
      <c r="G69" s="409">
        <f t="shared" ca="1" si="4"/>
        <v>50.052007685113729</v>
      </c>
      <c r="H69" s="405">
        <f t="shared" ca="1" si="5"/>
        <v>4.902397971241853E-4</v>
      </c>
      <c r="I69" s="405">
        <f t="shared" ca="1" si="6"/>
        <v>5.7270860676818475E-4</v>
      </c>
      <c r="J69" s="405">
        <f t="shared" ca="1" si="7"/>
        <v>1302.2623755837456</v>
      </c>
      <c r="K69" s="412">
        <f t="shared" ca="1" si="8"/>
        <v>271.33083582603956</v>
      </c>
      <c r="L69" s="415">
        <f t="shared" ca="1" si="9"/>
        <v>2757.9092906890082</v>
      </c>
      <c r="M69" s="418">
        <f t="shared" ca="1" si="10"/>
        <v>22.960451207771918</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0:D10"/>
    <mergeCell ref="C9:D9"/>
    <mergeCell ref="C2:D3"/>
    <mergeCell ref="C4:D4"/>
    <mergeCell ref="C5:D5"/>
    <mergeCell ref="C7:D7"/>
    <mergeCell ref="C8:D8"/>
    <mergeCell ref="C11:D11"/>
    <mergeCell ref="C13:D13"/>
    <mergeCell ref="C15:D15"/>
    <mergeCell ref="C16:D16"/>
    <mergeCell ref="C17:D17"/>
    <mergeCell ref="C12:D12"/>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ColWidth="11.42578125" defaultRowHeight="12.75" x14ac:dyDescent="0.2"/>
  <cols>
    <col min="1" max="1" width="2.140625" customWidth="1"/>
    <col min="2" max="2" width="16.140625" customWidth="1"/>
    <col min="3" max="4" width="13.5703125" customWidth="1"/>
  </cols>
  <sheetData>
    <row r="2" spans="3:8" x14ac:dyDescent="0.2">
      <c r="C2" s="598" t="s">
        <v>178</v>
      </c>
      <c r="D2" s="598"/>
    </row>
    <row r="3" spans="3:8" x14ac:dyDescent="0.2">
      <c r="C3" s="598"/>
      <c r="D3" s="598"/>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417</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299</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325</v>
      </c>
      <c r="D43" t="s">
        <v>42</v>
      </c>
      <c r="E43" s="16">
        <v>41194</v>
      </c>
      <c r="F43" t="s">
        <v>329</v>
      </c>
    </row>
    <row r="44" spans="3:6" x14ac:dyDescent="0.2">
      <c r="C44" t="s">
        <v>326</v>
      </c>
      <c r="D44" t="s">
        <v>42</v>
      </c>
      <c r="E44" s="16">
        <v>41329</v>
      </c>
      <c r="F44" t="s">
        <v>330</v>
      </c>
    </row>
    <row r="45" spans="3:6" x14ac:dyDescent="0.2">
      <c r="C45" t="s">
        <v>414</v>
      </c>
      <c r="D45" t="s">
        <v>393</v>
      </c>
      <c r="E45" s="16">
        <v>41947</v>
      </c>
      <c r="F45" t="s">
        <v>413</v>
      </c>
    </row>
    <row r="46" spans="3:6" x14ac:dyDescent="0.2">
      <c r="C46" t="s">
        <v>418</v>
      </c>
      <c r="D46" t="s">
        <v>393</v>
      </c>
      <c r="E46" s="16">
        <v>41965</v>
      </c>
      <c r="F46" t="s">
        <v>416</v>
      </c>
    </row>
    <row r="47" spans="3:6" x14ac:dyDescent="0.2">
      <c r="C47" t="s">
        <v>539</v>
      </c>
      <c r="D47" t="s">
        <v>393</v>
      </c>
      <c r="E47" s="16">
        <v>43048</v>
      </c>
      <c r="F47" t="s">
        <v>540</v>
      </c>
    </row>
    <row r="48" spans="3:6" x14ac:dyDescent="0.2">
      <c r="C48" t="s">
        <v>543</v>
      </c>
      <c r="D48" t="s">
        <v>393</v>
      </c>
      <c r="E48" s="16">
        <v>44160</v>
      </c>
      <c r="F48" t="s">
        <v>544</v>
      </c>
    </row>
    <row r="49" spans="3:6" x14ac:dyDescent="0.2">
      <c r="C49" t="s">
        <v>553</v>
      </c>
      <c r="D49" t="s">
        <v>551</v>
      </c>
      <c r="E49" s="16">
        <v>45300</v>
      </c>
      <c r="F49" t="s">
        <v>552</v>
      </c>
    </row>
    <row r="50" spans="3:6" x14ac:dyDescent="0.2">
      <c r="C50" t="s">
        <v>555</v>
      </c>
      <c r="D50" t="s">
        <v>393</v>
      </c>
      <c r="E50" s="16">
        <v>45322</v>
      </c>
      <c r="F50" t="s">
        <v>560</v>
      </c>
    </row>
    <row r="51" spans="3:6" x14ac:dyDescent="0.2">
      <c r="C51" t="s">
        <v>564</v>
      </c>
      <c r="D51" t="s">
        <v>393</v>
      </c>
      <c r="E51" s="16">
        <v>45325</v>
      </c>
      <c r="F51" t="s">
        <v>563</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426</v>
      </c>
      <c r="N3" s="75"/>
      <c r="O3" s="6"/>
      <c r="P3" s="273" t="s">
        <v>338</v>
      </c>
      <c r="Q3" s="441">
        <f>Long_ogive</f>
        <v>700</v>
      </c>
      <c r="R3" s="48"/>
      <c r="S3" s="48"/>
      <c r="T3" s="48"/>
      <c r="U3" s="48"/>
    </row>
    <row r="4" spans="2:21" ht="15.75" customHeight="1" x14ac:dyDescent="0.2">
      <c r="B4" s="74"/>
      <c r="D4" s="2" t="s">
        <v>562</v>
      </c>
      <c r="E4" t="str">
        <f>Matricule</f>
        <v>FX</v>
      </c>
      <c r="N4" s="75"/>
      <c r="O4" s="6"/>
      <c r="P4" s="273"/>
      <c r="Q4" s="436"/>
      <c r="R4" s="48"/>
      <c r="S4" s="48"/>
      <c r="T4" s="48"/>
      <c r="U4" s="48"/>
    </row>
    <row r="5" spans="2:21" ht="15.75" customHeight="1" x14ac:dyDescent="0.2">
      <c r="B5" s="74"/>
      <c r="D5" t="s">
        <v>459</v>
      </c>
      <c r="E5" t="str">
        <f>Propu</f>
        <v>Pro98-6G Green</v>
      </c>
      <c r="G5" t="s">
        <v>456</v>
      </c>
      <c r="H5">
        <f ca="1">MasseSans</f>
        <v>10.424999999999999</v>
      </c>
      <c r="N5" s="75"/>
      <c r="O5" s="6"/>
      <c r="P5" s="273"/>
      <c r="Q5" s="436"/>
      <c r="R5" s="48"/>
      <c r="S5" s="48"/>
      <c r="T5" s="48"/>
      <c r="U5" s="48"/>
    </row>
    <row r="6" spans="2:21" x14ac:dyDescent="0.2">
      <c r="B6" s="74"/>
      <c r="D6" t="s">
        <v>452</v>
      </c>
      <c r="E6" s="2" t="str">
        <f>Trajecto!H34</f>
        <v>noir</v>
      </c>
      <c r="G6" t="s">
        <v>457</v>
      </c>
      <c r="H6">
        <f>D_ref</f>
        <v>150</v>
      </c>
      <c r="N6" s="75"/>
      <c r="O6" s="6"/>
      <c r="P6" s="273"/>
      <c r="Q6" s="436"/>
      <c r="R6" s="48"/>
      <c r="S6" s="48"/>
      <c r="T6" s="48"/>
      <c r="U6" s="48"/>
    </row>
    <row r="7" spans="2:21" x14ac:dyDescent="0.2">
      <c r="B7" s="74"/>
      <c r="D7" t="s">
        <v>454</v>
      </c>
      <c r="E7" s="2" t="str">
        <f>Trajecto!H35</f>
        <v>rouge</v>
      </c>
      <c r="G7" t="s">
        <v>5</v>
      </c>
      <c r="H7">
        <f>Cx</f>
        <v>0.6</v>
      </c>
      <c r="N7" s="75"/>
      <c r="O7" s="6"/>
      <c r="P7" s="273"/>
      <c r="Q7" s="436"/>
      <c r="R7" s="48"/>
      <c r="S7" s="48"/>
      <c r="T7" s="48"/>
      <c r="U7" s="48"/>
    </row>
    <row r="8" spans="2:21" x14ac:dyDescent="0.2">
      <c r="B8" s="74"/>
      <c r="D8" t="s">
        <v>455</v>
      </c>
      <c r="E8" s="2">
        <f>S_para</f>
        <v>0.62831853071795862</v>
      </c>
      <c r="G8" t="s">
        <v>458</v>
      </c>
      <c r="H8">
        <f>L_rampe</f>
        <v>4</v>
      </c>
      <c r="N8" s="75"/>
      <c r="O8" s="6"/>
      <c r="P8" s="273"/>
      <c r="Q8" s="436"/>
      <c r="R8" s="48"/>
      <c r="S8" s="48"/>
      <c r="T8" s="48"/>
      <c r="U8" s="48"/>
    </row>
    <row r="9" spans="2:21" x14ac:dyDescent="0.2">
      <c r="B9" s="74"/>
      <c r="D9" t="s">
        <v>453</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451</v>
      </c>
      <c r="E11" s="243">
        <f ca="1">MasseSans</f>
        <v>10.424999999999999</v>
      </c>
      <c r="F11" s="246" t="s">
        <v>123</v>
      </c>
      <c r="G11" s="246" t="s">
        <v>125</v>
      </c>
      <c r="H11" s="672">
        <f ca="1">Vsortie_de_rampe</f>
        <v>22.787053131608307</v>
      </c>
      <c r="I11" s="673"/>
      <c r="J11" s="76"/>
      <c r="N11" s="75"/>
      <c r="P11" s="48"/>
      <c r="Q11" s="436"/>
      <c r="R11" s="48"/>
      <c r="S11" s="48"/>
      <c r="T11" s="48"/>
      <c r="U11" s="440" t="str">
        <f>IF(RIGHT(Nb_diam,1)=",", "", X_j)</f>
        <v/>
      </c>
    </row>
    <row r="12" spans="2:21" ht="13.5" thickBot="1" x14ac:dyDescent="0.25">
      <c r="B12" s="74"/>
      <c r="C12" s="12"/>
      <c r="D12" s="276"/>
      <c r="E12" s="244"/>
      <c r="F12" s="6" t="s">
        <v>123</v>
      </c>
      <c r="G12" s="6" t="s">
        <v>126</v>
      </c>
      <c r="H12" s="674">
        <f>Finesse</f>
        <v>18</v>
      </c>
      <c r="I12" s="675"/>
      <c r="J12" s="76"/>
      <c r="N12" s="75"/>
      <c r="O12" s="6"/>
      <c r="P12" s="273" t="s">
        <v>339</v>
      </c>
      <c r="Q12" s="441">
        <f>D_og</f>
        <v>150</v>
      </c>
      <c r="R12" s="48"/>
      <c r="S12" s="48"/>
      <c r="T12" s="48"/>
      <c r="U12" s="436"/>
    </row>
    <row r="13" spans="2:21" x14ac:dyDescent="0.2">
      <c r="B13" s="74"/>
      <c r="C13" s="12"/>
      <c r="D13" s="276" t="s">
        <v>5</v>
      </c>
      <c r="E13" s="244">
        <f>Cx</f>
        <v>0.6</v>
      </c>
      <c r="F13" s="6" t="s">
        <v>123</v>
      </c>
      <c r="G13" s="6" t="s">
        <v>430</v>
      </c>
      <c r="H13" s="674">
        <f>Cn</f>
        <v>19.208248562733591</v>
      </c>
      <c r="I13" s="675"/>
      <c r="J13" s="76"/>
      <c r="N13" s="75"/>
      <c r="O13" s="6"/>
      <c r="P13" s="48"/>
      <c r="Q13" s="436"/>
      <c r="R13" s="48"/>
      <c r="S13" s="48"/>
      <c r="T13" s="48"/>
      <c r="U13" s="440" t="str">
        <f>IF(RIGHT(Nb_diam,1)=",", "", X_r)</f>
        <v/>
      </c>
    </row>
    <row r="14" spans="2:21" x14ac:dyDescent="0.2">
      <c r="B14" s="74"/>
      <c r="C14" s="12"/>
      <c r="D14" s="276" t="s">
        <v>143</v>
      </c>
      <c r="E14" s="244">
        <f>L_rampe</f>
        <v>4</v>
      </c>
      <c r="F14" s="6" t="s">
        <v>123</v>
      </c>
      <c r="G14" s="6" t="s">
        <v>127</v>
      </c>
      <c r="H14" s="247">
        <f ca="1">MS_min</f>
        <v>2.2528667130026587</v>
      </c>
      <c r="I14" s="254">
        <f ca="1">MS_max</f>
        <v>2.9962179401659328</v>
      </c>
      <c r="J14" s="76"/>
      <c r="K14" s="76"/>
      <c r="N14" s="75"/>
      <c r="P14" s="48"/>
      <c r="Q14" s="436"/>
      <c r="R14" s="48"/>
      <c r="S14" s="48"/>
      <c r="T14" s="48"/>
      <c r="U14" s="436"/>
    </row>
    <row r="15" spans="2:21" x14ac:dyDescent="0.2">
      <c r="B15" s="74"/>
      <c r="C15" s="12"/>
      <c r="D15" s="276" t="s">
        <v>144</v>
      </c>
      <c r="E15" s="244">
        <f>ep_ail</f>
        <v>2</v>
      </c>
      <c r="F15" s="6" t="s">
        <v>123</v>
      </c>
      <c r="G15" s="6" t="s">
        <v>124</v>
      </c>
      <c r="H15" s="247">
        <f ca="1">MS_Cn_min</f>
        <v>43.273623802063668</v>
      </c>
      <c r="I15" s="254">
        <f ca="1">MS_Cn_max</f>
        <v>57.552098942828877</v>
      </c>
      <c r="J15" s="76"/>
      <c r="K15" s="76"/>
      <c r="N15" s="75"/>
      <c r="P15" s="48"/>
      <c r="Q15" s="436"/>
      <c r="R15" s="48"/>
      <c r="S15" s="48"/>
      <c r="T15" s="48"/>
    </row>
    <row r="16" spans="2:21" x14ac:dyDescent="0.2">
      <c r="B16" s="74"/>
      <c r="C16" s="12"/>
      <c r="D16" s="276" t="s">
        <v>145</v>
      </c>
      <c r="E16" s="244">
        <f>Q_ail</f>
        <v>4</v>
      </c>
      <c r="F16" s="6" t="s">
        <v>128</v>
      </c>
      <c r="G16" s="6" t="s">
        <v>129</v>
      </c>
      <c r="H16" s="247">
        <f ca="1">V_para</f>
        <v>16.013126066584963</v>
      </c>
      <c r="I16" s="253">
        <f>V_satellite</f>
        <v>12.655562623057198</v>
      </c>
      <c r="J16" s="76"/>
      <c r="N16" s="75"/>
      <c r="P16" s="48"/>
      <c r="Q16" s="436"/>
      <c r="R16" s="48"/>
      <c r="S16" s="48"/>
      <c r="T16" s="48"/>
      <c r="U16" s="440" t="str">
        <f>IF(RIGHT(Nb_diam,1)=",", "", l_j)</f>
        <v/>
      </c>
    </row>
    <row r="17" spans="2:21" x14ac:dyDescent="0.2">
      <c r="B17" s="74"/>
      <c r="C17" s="12"/>
      <c r="D17" s="276" t="s">
        <v>146</v>
      </c>
      <c r="E17" s="272" t="str">
        <f>Forme_ogive</f>
        <v>Conique (droite)</v>
      </c>
      <c r="F17" s="6" t="s">
        <v>130</v>
      </c>
      <c r="G17" s="6" t="s">
        <v>131</v>
      </c>
      <c r="H17" s="674">
        <f>T_para</f>
        <v>22</v>
      </c>
      <c r="I17" s="675"/>
      <c r="J17" s="258"/>
      <c r="N17" s="75"/>
      <c r="P17" s="434" t="s">
        <v>340</v>
      </c>
      <c r="Q17" s="440" t="str">
        <f>IF(RIGHT(Nb_diam,1)=",", "", D2j)</f>
        <v/>
      </c>
      <c r="R17" s="48"/>
      <c r="S17" s="48"/>
      <c r="T17" s="48"/>
      <c r="U17" s="436"/>
    </row>
    <row r="18" spans="2:21" x14ac:dyDescent="0.2">
      <c r="B18" s="74"/>
      <c r="C18" s="12"/>
      <c r="D18" s="276" t="s">
        <v>148</v>
      </c>
      <c r="E18" s="244">
        <f ca="1">XpropuRef-Long_propu</f>
        <v>1690</v>
      </c>
      <c r="F18" s="12" t="s">
        <v>130</v>
      </c>
      <c r="G18" s="12" t="s">
        <v>424</v>
      </c>
      <c r="H18" s="602">
        <f ca="1">T_para-Combustion-Depotage</f>
        <v>22</v>
      </c>
      <c r="I18" s="680"/>
      <c r="N18" s="75"/>
      <c r="P18" s="48"/>
      <c r="Q18" s="436"/>
      <c r="R18" s="48"/>
      <c r="S18" s="48"/>
    </row>
    <row r="19" spans="2:21" x14ac:dyDescent="0.2">
      <c r="B19" s="74"/>
      <c r="C19" s="531"/>
      <c r="D19" s="269"/>
      <c r="E19" s="271"/>
      <c r="F19" s="519" t="s">
        <v>132</v>
      </c>
      <c r="G19" s="274" t="s">
        <v>423</v>
      </c>
      <c r="H19" s="681" t="e">
        <f ca="1">Portee_balistique</f>
        <v>#N/A</v>
      </c>
      <c r="I19" s="682"/>
      <c r="N19" s="75"/>
      <c r="P19" s="48"/>
      <c r="Q19" s="436"/>
      <c r="R19" s="48"/>
      <c r="S19" s="48"/>
      <c r="T19" s="48"/>
    </row>
    <row r="20" spans="2:21" x14ac:dyDescent="0.2">
      <c r="B20" s="74"/>
      <c r="C20" s="12"/>
      <c r="D20" s="6"/>
      <c r="E20" s="6"/>
      <c r="H20" s="518"/>
      <c r="I20" s="518"/>
      <c r="N20" s="75"/>
      <c r="P20" s="48"/>
      <c r="Q20" s="436"/>
      <c r="R20" s="48"/>
      <c r="S20" s="48"/>
      <c r="T20" s="48"/>
      <c r="U20" s="440" t="str">
        <f>IF(RIGHT(Nb_diam,1)=",", "", l_r)</f>
        <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450</v>
      </c>
      <c r="D22" s="526" t="s">
        <v>434</v>
      </c>
      <c r="E22" s="527"/>
      <c r="F22" s="528" t="s">
        <v>439</v>
      </c>
      <c r="G22" s="526" t="s">
        <v>444</v>
      </c>
      <c r="I22" s="529"/>
      <c r="J22" s="530" t="s">
        <v>156</v>
      </c>
      <c r="K22" s="526" t="s">
        <v>157</v>
      </c>
      <c r="N22" s="75"/>
      <c r="O22" s="273"/>
      <c r="P22" s="436"/>
      <c r="Q22" s="48"/>
      <c r="R22" s="48"/>
      <c r="S22" s="48"/>
      <c r="T22" s="226"/>
      <c r="U22" s="436"/>
    </row>
    <row r="23" spans="2:21" x14ac:dyDescent="0.2">
      <c r="B23" s="74"/>
      <c r="C23" s="526" t="s">
        <v>449</v>
      </c>
      <c r="D23" s="527">
        <f ca="1">XcgSans</f>
        <v>1749.9248920863311</v>
      </c>
      <c r="E23" s="527" t="s">
        <v>38</v>
      </c>
      <c r="F23" s="528">
        <f>m_ail</f>
        <v>360</v>
      </c>
      <c r="G23" s="526">
        <f>m_can</f>
        <v>70</v>
      </c>
      <c r="I23" s="529" t="s">
        <v>445</v>
      </c>
      <c r="J23" s="528">
        <f>l_j</f>
        <v>50</v>
      </c>
      <c r="K23" s="526">
        <f>l_r</f>
        <v>50</v>
      </c>
      <c r="N23" s="75"/>
      <c r="O23" s="273"/>
      <c r="P23" s="436"/>
      <c r="Q23" s="48"/>
      <c r="R23" s="48"/>
      <c r="S23" s="48"/>
      <c r="T23" s="226"/>
      <c r="U23" s="436"/>
    </row>
    <row r="24" spans="2:21" x14ac:dyDescent="0.2">
      <c r="B24" s="74"/>
      <c r="C24" s="526" t="s">
        <v>437</v>
      </c>
      <c r="D24" s="526">
        <f>Long_tot</f>
        <v>2700</v>
      </c>
      <c r="E24" s="527" t="s">
        <v>440</v>
      </c>
      <c r="F24" s="528">
        <f>n_ail</f>
        <v>210</v>
      </c>
      <c r="G24" s="526">
        <f>n_can</f>
        <v>10</v>
      </c>
      <c r="I24" s="529" t="s">
        <v>446</v>
      </c>
      <c r="J24" s="528">
        <f>D1j</f>
        <v>150</v>
      </c>
      <c r="K24" s="526">
        <f>D1r</f>
        <v>300</v>
      </c>
      <c r="N24" s="75"/>
      <c r="O24" s="273"/>
      <c r="P24" s="436"/>
      <c r="Q24" s="48"/>
      <c r="R24" s="48"/>
      <c r="S24" s="48"/>
      <c r="T24" s="226"/>
      <c r="U24" s="436"/>
    </row>
    <row r="25" spans="2:21" x14ac:dyDescent="0.2">
      <c r="B25" s="74"/>
      <c r="C25" s="526" t="s">
        <v>438</v>
      </c>
      <c r="D25" s="526">
        <f>XpropuRef</f>
        <v>2700</v>
      </c>
      <c r="E25" s="527" t="s">
        <v>441</v>
      </c>
      <c r="F25" s="528">
        <f>p_ail</f>
        <v>310</v>
      </c>
      <c r="G25" s="526">
        <f>p_can</f>
        <v>40</v>
      </c>
      <c r="I25" s="529" t="s">
        <v>447</v>
      </c>
      <c r="J25" s="528">
        <f>D2j</f>
        <v>300</v>
      </c>
      <c r="K25" s="526">
        <f>D2r</f>
        <v>150</v>
      </c>
      <c r="N25" s="75"/>
      <c r="O25" s="273"/>
      <c r="P25" s="436"/>
      <c r="Q25" s="48"/>
      <c r="R25" s="48"/>
      <c r="S25" s="48"/>
      <c r="T25" s="226"/>
      <c r="U25" s="436"/>
    </row>
    <row r="26" spans="2:21" x14ac:dyDescent="0.2">
      <c r="B26" s="74"/>
      <c r="C26" s="526" t="s">
        <v>435</v>
      </c>
      <c r="D26" s="526">
        <f>D_ref</f>
        <v>150</v>
      </c>
      <c r="E26" s="527" t="s">
        <v>442</v>
      </c>
      <c r="F26" s="528">
        <f>E_ail</f>
        <v>220</v>
      </c>
      <c r="G26" s="526">
        <f>E_can</f>
        <v>50</v>
      </c>
      <c r="I26" s="529" t="s">
        <v>448</v>
      </c>
      <c r="J26" s="528">
        <f>X_j</f>
        <v>1000</v>
      </c>
      <c r="K26" s="526">
        <f>X_r</f>
        <v>500</v>
      </c>
      <c r="N26" s="75"/>
      <c r="O26" s="273"/>
      <c r="P26" s="436"/>
      <c r="Q26" s="48"/>
      <c r="R26" s="48"/>
      <c r="S26" s="48"/>
      <c r="T26" s="226"/>
      <c r="U26" s="436"/>
    </row>
    <row r="27" spans="2:21" x14ac:dyDescent="0.2">
      <c r="B27" s="74"/>
      <c r="C27" s="526" t="s">
        <v>436</v>
      </c>
      <c r="D27" s="526">
        <f>Long_ogive</f>
        <v>700</v>
      </c>
      <c r="E27" s="527" t="s">
        <v>443</v>
      </c>
      <c r="F27" s="528">
        <f>X_ail</f>
        <v>2700</v>
      </c>
      <c r="G27" s="526">
        <f>X_can</f>
        <v>700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7" t="s">
        <v>141</v>
      </c>
      <c r="D29" s="677" t="s">
        <v>133</v>
      </c>
      <c r="E29" s="677" t="s">
        <v>134</v>
      </c>
      <c r="F29" s="677"/>
      <c r="G29" s="677"/>
      <c r="H29" s="678" t="s">
        <v>135</v>
      </c>
      <c r="I29" s="678"/>
      <c r="J29" s="678"/>
      <c r="K29" s="678"/>
      <c r="L29" s="677" t="s">
        <v>136</v>
      </c>
      <c r="M29" s="677" t="s">
        <v>137</v>
      </c>
      <c r="N29" s="75"/>
      <c r="O29" s="273" t="s">
        <v>427</v>
      </c>
      <c r="P29" s="441">
        <f>n_ail</f>
        <v>210</v>
      </c>
      <c r="Q29" s="2"/>
      <c r="R29" s="48"/>
      <c r="S29" s="48"/>
      <c r="T29" s="48"/>
      <c r="U29" s="12" t="s">
        <v>431</v>
      </c>
    </row>
    <row r="30" spans="2:21" ht="13.5" thickBot="1" x14ac:dyDescent="0.25">
      <c r="B30" s="74"/>
      <c r="C30" s="677"/>
      <c r="D30" s="677"/>
      <c r="E30" s="677"/>
      <c r="F30" s="677"/>
      <c r="G30" s="677"/>
      <c r="H30" s="678" t="s">
        <v>138</v>
      </c>
      <c r="I30" s="678"/>
      <c r="J30" s="69" t="s">
        <v>139</v>
      </c>
      <c r="K30" s="70" t="s">
        <v>140</v>
      </c>
      <c r="L30" s="677"/>
      <c r="M30" s="677"/>
      <c r="N30" s="75"/>
      <c r="P30" s="12"/>
      <c r="R30" s="48"/>
      <c r="S30" s="48"/>
      <c r="T30" s="226" t="s">
        <v>429</v>
      </c>
      <c r="U30" s="523">
        <f>[0]!p_can</f>
        <v>40</v>
      </c>
    </row>
    <row r="31" spans="2:21" ht="13.5" thickBot="1" x14ac:dyDescent="0.25">
      <c r="B31" s="74"/>
      <c r="C31" s="83">
        <f>Beta_rampe</f>
        <v>75</v>
      </c>
      <c r="D31" s="84" t="e">
        <f ca="1">Portee_balistique</f>
        <v>#N/A</v>
      </c>
      <c r="E31" s="676">
        <f ca="1">T_para+Dt_para</f>
        <v>283.10310222742925</v>
      </c>
      <c r="F31" s="676"/>
      <c r="G31" s="676"/>
      <c r="H31" s="679">
        <f ca="1">Altitude_culmi</f>
        <v>4270.8545508077032</v>
      </c>
      <c r="I31" s="679"/>
      <c r="J31" s="85">
        <f ca="1">Temps_culmi</f>
        <v>26.199999999999989</v>
      </c>
      <c r="K31" s="86">
        <f ca="1">Vit_culmi</f>
        <v>57.45950764785124</v>
      </c>
      <c r="L31" s="84">
        <f ca="1">Acc_max</f>
        <v>84.667705685844993</v>
      </c>
      <c r="M31" s="86">
        <f ca="1">Vit_max</f>
        <v>455.60156621233614</v>
      </c>
      <c r="N31" s="75"/>
      <c r="O31" s="273" t="s">
        <v>433</v>
      </c>
      <c r="P31" s="441">
        <f>ep_ail</f>
        <v>2</v>
      </c>
      <c r="Q31" s="2"/>
      <c r="R31" s="48"/>
      <c r="S31" s="48"/>
      <c r="T31" s="226" t="s">
        <v>342</v>
      </c>
      <c r="U31" s="523">
        <f>[0]!m_can</f>
        <v>70</v>
      </c>
    </row>
    <row r="32" spans="2:21" ht="13.5" thickBot="1" x14ac:dyDescent="0.25">
      <c r="B32" s="74"/>
      <c r="C32" s="520"/>
      <c r="D32" s="242"/>
      <c r="E32" s="247"/>
      <c r="F32" s="247"/>
      <c r="G32" s="247"/>
      <c r="H32" s="283"/>
      <c r="I32" s="283"/>
      <c r="J32" s="247"/>
      <c r="K32" s="248"/>
      <c r="L32" s="242"/>
      <c r="M32" s="248"/>
      <c r="N32" s="75"/>
      <c r="O32" s="273" t="s">
        <v>432</v>
      </c>
      <c r="P32" s="522">
        <f>Q_ail</f>
        <v>4</v>
      </c>
      <c r="Q32" s="2"/>
      <c r="R32" s="48"/>
      <c r="S32" s="48"/>
      <c r="T32" s="226" t="s">
        <v>427</v>
      </c>
      <c r="U32" s="523">
        <f>[0]!n_can</f>
        <v>10</v>
      </c>
    </row>
    <row r="33" spans="2:21" ht="13.5" thickBot="1" x14ac:dyDescent="0.25">
      <c r="B33" s="74"/>
      <c r="D33" s="80"/>
      <c r="E33" s="81"/>
      <c r="F33" s="81"/>
      <c r="G33" s="81"/>
      <c r="H33" s="82"/>
      <c r="I33" s="82"/>
      <c r="J33" s="81"/>
      <c r="K33" s="76"/>
      <c r="L33" s="80"/>
      <c r="M33" s="76"/>
      <c r="N33" s="75"/>
      <c r="O33" s="2"/>
      <c r="Q33" s="2"/>
      <c r="R33" s="48"/>
      <c r="S33" s="48"/>
      <c r="T33" s="226" t="s">
        <v>428</v>
      </c>
      <c r="U33" s="523">
        <f>[0]!E_can</f>
        <v>50</v>
      </c>
    </row>
    <row r="34" spans="2:21" ht="13.5" thickBot="1" x14ac:dyDescent="0.25">
      <c r="B34" s="77"/>
      <c r="C34" s="78"/>
      <c r="D34" s="78"/>
      <c r="E34" s="78"/>
      <c r="F34" s="78"/>
      <c r="G34" s="78"/>
      <c r="H34" s="78"/>
      <c r="I34" s="78"/>
      <c r="J34" s="78"/>
      <c r="K34" s="78"/>
      <c r="L34" s="78"/>
      <c r="M34" s="78"/>
      <c r="N34" s="79"/>
      <c r="O34" s="2"/>
      <c r="P34" s="273" t="s">
        <v>428</v>
      </c>
      <c r="Q34" s="441">
        <f>E_ail</f>
        <v>220</v>
      </c>
      <c r="T34" s="226" t="s">
        <v>433</v>
      </c>
      <c r="U34" s="523">
        <f>[0]!ep_can</f>
        <v>2</v>
      </c>
    </row>
    <row r="35" spans="2:21" x14ac:dyDescent="0.2">
      <c r="O35" s="2"/>
      <c r="P35" s="6"/>
      <c r="Q35" s="6"/>
      <c r="T35" s="226" t="s">
        <v>432</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561</v>
      </c>
      <c r="I38" t="str">
        <f>Matricule</f>
        <v>FX</v>
      </c>
      <c r="N38" s="75"/>
    </row>
    <row r="39" spans="2:21" x14ac:dyDescent="0.2">
      <c r="B39" s="74"/>
      <c r="D39" s="2"/>
      <c r="N39" s="75"/>
    </row>
    <row r="40" spans="2:21" x14ac:dyDescent="0.2">
      <c r="B40" s="74"/>
      <c r="D40" s="275" t="s">
        <v>149</v>
      </c>
      <c r="E40" s="246">
        <f>D_ref</f>
        <v>150</v>
      </c>
      <c r="F40" s="265"/>
      <c r="G40" s="265"/>
      <c r="H40" s="261" t="s">
        <v>198</v>
      </c>
      <c r="I40" s="261" t="s">
        <v>199</v>
      </c>
      <c r="J40" s="262" t="s">
        <v>200</v>
      </c>
      <c r="N40" s="75"/>
    </row>
    <row r="41" spans="2:21" x14ac:dyDescent="0.2">
      <c r="B41" s="74"/>
      <c r="D41" s="276" t="s">
        <v>147</v>
      </c>
      <c r="E41" s="6">
        <f>Long_ogive</f>
        <v>700</v>
      </c>
      <c r="F41" s="2"/>
      <c r="G41" s="2" t="s">
        <v>201</v>
      </c>
      <c r="H41" s="6">
        <f ca="1">MasseSans</f>
        <v>10.424999999999999</v>
      </c>
      <c r="I41" s="6">
        <f ca="1">MasseVide</f>
        <v>15.088999999999999</v>
      </c>
      <c r="J41" s="244">
        <f ca="1">MassePlein</f>
        <v>23.672999999999998</v>
      </c>
      <c r="N41" s="75"/>
    </row>
    <row r="42" spans="2:21" x14ac:dyDescent="0.2">
      <c r="B42" s="74"/>
      <c r="D42" s="276" t="s">
        <v>150</v>
      </c>
      <c r="E42" s="6">
        <f>X_ail-m_ail</f>
        <v>2340</v>
      </c>
      <c r="F42" s="255"/>
      <c r="G42" s="255" t="s">
        <v>218</v>
      </c>
      <c r="H42" s="263">
        <f ca="1">XcgSans</f>
        <v>1749.9248920863311</v>
      </c>
      <c r="I42" s="263">
        <f ca="1">XcgVide</f>
        <v>1887.4973159255089</v>
      </c>
      <c r="J42" s="245">
        <f ca="1">XcgPlein</f>
        <v>1999</v>
      </c>
      <c r="N42" s="75"/>
    </row>
    <row r="43" spans="2:21" x14ac:dyDescent="0.2">
      <c r="B43" s="74"/>
      <c r="D43" s="276" t="str">
        <f>IF(Lang="Français","Emplanture 'm'",IF(Lang="English","Root edge  'm'",""))</f>
        <v>Emplanture 'm'</v>
      </c>
      <c r="E43" s="244">
        <f>m_ail</f>
        <v>360</v>
      </c>
      <c r="N43" s="75"/>
    </row>
    <row r="44" spans="2:21" x14ac:dyDescent="0.2">
      <c r="B44" s="74"/>
      <c r="D44" s="276" t="str">
        <f>IF(Lang="Français","Saumon      'n'",IF(Lang="English","Tip edge    'n'",""))</f>
        <v>Saumon      'n'</v>
      </c>
      <c r="E44" s="244">
        <f>n_ail</f>
        <v>210</v>
      </c>
      <c r="F44" s="246" t="s">
        <v>202</v>
      </c>
      <c r="G44" s="246" t="s">
        <v>207</v>
      </c>
      <c r="H44" s="672">
        <f ca="1">Vsortie_de_rampe</f>
        <v>22.787053131608307</v>
      </c>
      <c r="I44" s="673"/>
      <c r="N44" s="75"/>
    </row>
    <row r="45" spans="2:21" x14ac:dyDescent="0.2">
      <c r="B45" s="74"/>
      <c r="D45" s="276" t="str">
        <f>IF(Lang="Français","Flèche        'p'",IF(Lang="English","Offset         'p'",""))</f>
        <v>Flèche        'p'</v>
      </c>
      <c r="E45" s="244">
        <f>p_ail</f>
        <v>310</v>
      </c>
      <c r="F45" s="6" t="s">
        <v>203</v>
      </c>
      <c r="G45" s="6" t="s">
        <v>208</v>
      </c>
      <c r="H45" s="674">
        <f>Finesse</f>
        <v>18</v>
      </c>
      <c r="I45" s="675"/>
      <c r="N45" s="75"/>
    </row>
    <row r="46" spans="2:21" x14ac:dyDescent="0.2">
      <c r="B46" s="74"/>
      <c r="D46" s="276" t="str">
        <f>IF(Lang="Français","Envergure   'E'",IF(Lang="English","Span          'E'",""))</f>
        <v>Envergure   'E'</v>
      </c>
      <c r="E46" s="244">
        <f>E_ail</f>
        <v>220</v>
      </c>
      <c r="F46" s="6" t="s">
        <v>204</v>
      </c>
      <c r="G46" s="6" t="s">
        <v>209</v>
      </c>
      <c r="H46" s="674">
        <f>Cn</f>
        <v>19.208248562733591</v>
      </c>
      <c r="I46" s="675"/>
      <c r="N46" s="75"/>
    </row>
    <row r="47" spans="2:21" x14ac:dyDescent="0.2">
      <c r="B47" s="74"/>
      <c r="D47" s="276" t="s">
        <v>144</v>
      </c>
      <c r="E47" s="244">
        <f>ep_ail</f>
        <v>2</v>
      </c>
      <c r="F47" s="6" t="s">
        <v>205</v>
      </c>
      <c r="G47" s="6" t="s">
        <v>210</v>
      </c>
      <c r="H47" s="247">
        <f ca="1">MS_min</f>
        <v>2.2528667130026587</v>
      </c>
      <c r="I47" s="254">
        <f ca="1">MS_max</f>
        <v>2.9962179401659328</v>
      </c>
      <c r="N47" s="75"/>
    </row>
    <row r="48" spans="2:21" x14ac:dyDescent="0.2">
      <c r="B48" s="74"/>
      <c r="D48" s="276" t="s">
        <v>145</v>
      </c>
      <c r="E48" s="244">
        <f>Q_ail</f>
        <v>4</v>
      </c>
      <c r="F48" s="274" t="s">
        <v>206</v>
      </c>
      <c r="G48" s="274" t="s">
        <v>211</v>
      </c>
      <c r="H48" s="256">
        <f ca="1">MS_Cn_min</f>
        <v>43.273623802063668</v>
      </c>
      <c r="I48" s="264">
        <f ca="1">MS_Cn_max</f>
        <v>57.552098942828877</v>
      </c>
      <c r="N48" s="75"/>
    </row>
    <row r="49" spans="2:14" x14ac:dyDescent="0.2">
      <c r="B49" s="74"/>
      <c r="D49" s="276" t="s">
        <v>148</v>
      </c>
      <c r="E49" s="244">
        <f ca="1">XpropuRef-Long_propu</f>
        <v>1690</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2700</v>
      </c>
      <c r="G51" s="276" t="s">
        <v>212</v>
      </c>
      <c r="H51" s="6">
        <f>Sref</f>
        <v>1.9431458676442588E-2</v>
      </c>
      <c r="J51" s="267"/>
      <c r="N51" s="75"/>
    </row>
    <row r="52" spans="2:14" x14ac:dyDescent="0.2">
      <c r="B52" s="74"/>
      <c r="D52" s="276" t="s">
        <v>196</v>
      </c>
      <c r="E52" s="244">
        <f>MAX(D_ref,D_ail,D_og,(RIGHT(Nb_diam,1)=",")*MAX(D1j,D1r,D2j,D2r))</f>
        <v>300</v>
      </c>
      <c r="G52" s="276" t="s">
        <v>213</v>
      </c>
      <c r="H52" s="6">
        <f>Beta_rampe</f>
        <v>75</v>
      </c>
      <c r="I52" s="6">
        <v>80</v>
      </c>
      <c r="J52" s="244">
        <v>90</v>
      </c>
      <c r="N52" s="75"/>
    </row>
    <row r="53" spans="2:14" x14ac:dyDescent="0.2">
      <c r="B53" s="74"/>
      <c r="D53" s="277" t="s">
        <v>197</v>
      </c>
      <c r="E53" s="260">
        <f>E_ail*2+D_ail</f>
        <v>590</v>
      </c>
      <c r="G53" s="278" t="s">
        <v>215</v>
      </c>
      <c r="H53" s="247">
        <f ca="1">Temps_culmi</f>
        <v>26.199999999999989</v>
      </c>
      <c r="I53" s="259"/>
      <c r="J53" s="268"/>
      <c r="N53" s="75"/>
    </row>
    <row r="54" spans="2:14" x14ac:dyDescent="0.2">
      <c r="B54" s="74"/>
      <c r="G54" s="278" t="s">
        <v>216</v>
      </c>
      <c r="H54" s="242">
        <f ca="1">Altitude_culmi</f>
        <v>4270.8545508077032</v>
      </c>
      <c r="I54" s="259"/>
      <c r="J54" s="268"/>
      <c r="N54" s="75"/>
    </row>
    <row r="55" spans="2:14" x14ac:dyDescent="0.2">
      <c r="B55" s="74"/>
      <c r="C55" s="275" t="s">
        <v>233</v>
      </c>
      <c r="D55" s="249" t="s">
        <v>60</v>
      </c>
      <c r="E55" s="243">
        <f>Long_tot</f>
        <v>2700</v>
      </c>
      <c r="G55" s="278" t="s">
        <v>217</v>
      </c>
      <c r="H55" s="248">
        <f ca="1">Vit_culmi</f>
        <v>57.45950764785124</v>
      </c>
      <c r="I55" s="259"/>
      <c r="J55" s="268"/>
      <c r="N55" s="75"/>
    </row>
    <row r="56" spans="2:14" x14ac:dyDescent="0.2">
      <c r="B56" s="74"/>
      <c r="C56" s="276"/>
      <c r="D56" s="2" t="s">
        <v>219</v>
      </c>
      <c r="E56" s="244">
        <f>MAX(D_ref,D_ail,D_og,(RIGHT(Nb_diam,1)=",")*MAX(D1j,D1r,D2j,D2r))</f>
        <v>300</v>
      </c>
      <c r="G56" s="278" t="s">
        <v>133</v>
      </c>
      <c r="H56" s="242" t="e">
        <f ca="1">Portee_balistique</f>
        <v>#N/A</v>
      </c>
      <c r="I56" s="259"/>
      <c r="J56" s="268"/>
      <c r="N56" s="75"/>
    </row>
    <row r="57" spans="2:14" x14ac:dyDescent="0.2">
      <c r="B57" s="74"/>
      <c r="C57" s="276"/>
      <c r="D57" s="2" t="s">
        <v>220</v>
      </c>
      <c r="E57" s="244">
        <f>E_ail*2+D_ail</f>
        <v>590</v>
      </c>
      <c r="G57" s="278" t="s">
        <v>214</v>
      </c>
      <c r="H57" s="242" t="e">
        <f ca="1">T_balistique</f>
        <v>#N/A</v>
      </c>
      <c r="I57" s="259"/>
      <c r="J57" s="268"/>
      <c r="N57" s="75"/>
    </row>
    <row r="58" spans="2:14" x14ac:dyDescent="0.2">
      <c r="B58" s="74"/>
      <c r="C58" s="276"/>
      <c r="D58" s="2" t="s">
        <v>221</v>
      </c>
      <c r="E58" s="244">
        <f ca="1">MassePlein</f>
        <v>23.672999999999998</v>
      </c>
      <c r="G58" s="278" t="s">
        <v>137</v>
      </c>
      <c r="H58" s="248">
        <f ca="1">Vit_max</f>
        <v>455.60156621233614</v>
      </c>
      <c r="I58" s="259"/>
      <c r="J58" s="268"/>
      <c r="N58" s="75"/>
    </row>
    <row r="59" spans="2:14" x14ac:dyDescent="0.2">
      <c r="B59" s="74"/>
      <c r="C59" s="277" t="s">
        <v>234</v>
      </c>
      <c r="D59" s="255" t="s">
        <v>145</v>
      </c>
      <c r="E59" s="260">
        <f>Q_ail</f>
        <v>4</v>
      </c>
      <c r="G59" s="278" t="s">
        <v>136</v>
      </c>
      <c r="H59" s="242">
        <f ca="1">Acc_max</f>
        <v>84.667705685844993</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4008.6771934020167</v>
      </c>
      <c r="F62" s="280">
        <f ca="1">E62/9.81</f>
        <v>408.63172205932892</v>
      </c>
      <c r="H62" s="2"/>
      <c r="I62" s="2"/>
      <c r="J62" s="2"/>
      <c r="K62" s="2"/>
      <c r="N62" s="75"/>
    </row>
    <row r="63" spans="2:14" x14ac:dyDescent="0.2">
      <c r="B63" s="74"/>
      <c r="C63" s="276"/>
      <c r="D63" s="2" t="s">
        <v>223</v>
      </c>
      <c r="E63" s="242">
        <f ca="1">2*Acc_max*Masse_ail</f>
        <v>42.469321172019853</v>
      </c>
      <c r="F63" s="248">
        <f ca="1">E63/9.81</f>
        <v>4.3291866638144603</v>
      </c>
      <c r="G63" s="246" t="s">
        <v>229</v>
      </c>
      <c r="H63" s="288">
        <f>S_ail*(ep_ail/1000)*2000</f>
        <v>0.25080000000000002</v>
      </c>
      <c r="I63" s="2"/>
      <c r="J63" s="2"/>
      <c r="K63" s="2"/>
      <c r="N63" s="75"/>
    </row>
    <row r="64" spans="2:14" x14ac:dyDescent="0.2">
      <c r="B64" s="74"/>
      <c r="C64" s="277"/>
      <c r="D64" s="255" t="s">
        <v>224</v>
      </c>
      <c r="E64" s="263">
        <f ca="1">0.104*S_ail*Vit_max^2</f>
        <v>1353.54063035078</v>
      </c>
      <c r="F64" s="281">
        <f ca="1">E64/9.81</f>
        <v>137.97559942413659</v>
      </c>
      <c r="G64" s="274" t="s">
        <v>228</v>
      </c>
      <c r="H64" s="289">
        <f>(E_ail*(m_ail+n_ail)/2)/10^6</f>
        <v>6.2700000000000006E-2</v>
      </c>
      <c r="I64" s="2"/>
      <c r="J64" s="2"/>
      <c r="K64" s="2"/>
      <c r="N64" s="75"/>
    </row>
    <row r="65" spans="2:14" x14ac:dyDescent="0.2">
      <c r="B65" s="74"/>
      <c r="C65" s="282" t="s">
        <v>242</v>
      </c>
      <c r="D65" s="285" t="s">
        <v>240</v>
      </c>
      <c r="E65" s="286">
        <f ca="1">2*Acc_max*H65</f>
        <v>2004.3385967010083</v>
      </c>
      <c r="F65" s="286">
        <f ca="1">E65/9.81</f>
        <v>204.31586102966446</v>
      </c>
      <c r="G65" s="287" t="s">
        <v>241</v>
      </c>
      <c r="H65" s="279">
        <f ca="1">E58/2</f>
        <v>11.836499999999999</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22</v>
      </c>
      <c r="I67" s="251">
        <f ca="1">Temps_culmi</f>
        <v>26.199999999999989</v>
      </c>
      <c r="J67" s="2"/>
      <c r="K67" s="2"/>
      <c r="N67" s="75"/>
    </row>
    <row r="68" spans="2:14" x14ac:dyDescent="0.2">
      <c r="B68" s="74"/>
      <c r="C68" s="6"/>
      <c r="D68" s="2"/>
      <c r="E68" s="2"/>
      <c r="F68" s="275" t="s">
        <v>231</v>
      </c>
      <c r="G68" s="249" t="s">
        <v>129</v>
      </c>
      <c r="H68" s="250">
        <f ca="1">V_para</f>
        <v>16.013126066584963</v>
      </c>
      <c r="I68" s="251">
        <f>V_satellite</f>
        <v>12.655562623057198</v>
      </c>
      <c r="J68" s="2"/>
      <c r="K68" s="2"/>
      <c r="N68" s="75"/>
    </row>
    <row r="69" spans="2:14" x14ac:dyDescent="0.2">
      <c r="B69" s="74"/>
      <c r="C69" s="6"/>
      <c r="D69" s="2"/>
      <c r="E69" s="2"/>
      <c r="F69" s="276"/>
      <c r="G69" s="2" t="s">
        <v>237</v>
      </c>
      <c r="H69" s="247">
        <f>S_para</f>
        <v>0.62831853071795862</v>
      </c>
      <c r="I69" s="253">
        <f>S_satellite</f>
        <v>0.1</v>
      </c>
      <c r="J69" s="2"/>
      <c r="K69" s="2"/>
      <c r="N69" s="75"/>
    </row>
    <row r="70" spans="2:14" x14ac:dyDescent="0.2">
      <c r="B70" s="74"/>
      <c r="C70" s="226"/>
      <c r="D70" s="2"/>
      <c r="F70" s="276"/>
      <c r="G70" s="2" t="s">
        <v>236</v>
      </c>
      <c r="H70" s="247">
        <f ca="1">V_ouverture</f>
        <v>76.010246992125587</v>
      </c>
      <c r="I70" s="253">
        <f ca="1">V_ouv_sat</f>
        <v>264.25931636003202</v>
      </c>
      <c r="N70" s="75"/>
    </row>
    <row r="71" spans="2:14" x14ac:dyDescent="0.2">
      <c r="B71" s="74"/>
      <c r="C71" s="226"/>
      <c r="F71" s="276"/>
      <c r="G71" s="2" t="s">
        <v>201</v>
      </c>
      <c r="H71" s="247">
        <f ca="1">m_vide</f>
        <v>15.088999999999999</v>
      </c>
      <c r="I71" s="253">
        <f>m_satellite</f>
        <v>1</v>
      </c>
      <c r="N71" s="75"/>
    </row>
    <row r="72" spans="2:14" x14ac:dyDescent="0.2">
      <c r="B72" s="74"/>
      <c r="C72" s="226"/>
      <c r="F72" s="276"/>
      <c r="G72" s="2" t="s">
        <v>238</v>
      </c>
      <c r="H72" s="283">
        <f ca="1">1/2*Rho_moyen*S_para*V_ouverture^2</f>
        <v>2223.4647510989657</v>
      </c>
      <c r="I72" s="284">
        <f ca="1">1/2*Rho_moyen*S_satellite*V_ouv_sat^2</f>
        <v>4277.2704098381291</v>
      </c>
      <c r="N72" s="75"/>
    </row>
    <row r="73" spans="2:14" x14ac:dyDescent="0.2">
      <c r="B73" s="74"/>
      <c r="D73" s="2"/>
      <c r="F73" s="277"/>
      <c r="G73" s="255" t="s">
        <v>239</v>
      </c>
      <c r="H73" s="256">
        <f ca="1">H72/9.81</f>
        <v>226.652879826602</v>
      </c>
      <c r="I73" s="257">
        <f ca="1">I72/9.81</f>
        <v>436.01125482549736</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331</v>
      </c>
      <c r="N78" s="75"/>
    </row>
    <row r="79" spans="2:14" ht="12.75" customHeight="1" x14ac:dyDescent="0.25">
      <c r="B79" s="74"/>
      <c r="E79" s="48"/>
      <c r="F79" s="48"/>
      <c r="G79" s="435" t="s">
        <v>337</v>
      </c>
      <c r="I79" s="448"/>
      <c r="J79" s="48"/>
      <c r="K79" s="48"/>
      <c r="N79" s="75"/>
    </row>
    <row r="80" spans="2:14" x14ac:dyDescent="0.2">
      <c r="B80" s="74"/>
      <c r="C80" s="275" t="s">
        <v>332</v>
      </c>
      <c r="D80" s="243">
        <f>Nom</f>
        <v>0</v>
      </c>
      <c r="E80" s="48"/>
      <c r="F80" s="48"/>
      <c r="G80" s="48"/>
      <c r="H80" s="48"/>
      <c r="I80" s="48"/>
      <c r="J80" s="48"/>
      <c r="K80" s="48"/>
      <c r="N80" s="75"/>
    </row>
    <row r="81" spans="2:14" ht="13.5" thickBot="1" x14ac:dyDescent="0.25">
      <c r="B81" s="74"/>
      <c r="C81" s="276" t="s">
        <v>4</v>
      </c>
      <c r="D81" s="244" t="str">
        <f>Club</f>
        <v>S&amp;T Sorbonne</v>
      </c>
      <c r="E81" s="48"/>
      <c r="F81" s="48"/>
      <c r="G81" s="48"/>
      <c r="H81" s="48"/>
      <c r="I81" s="48"/>
      <c r="J81" s="48"/>
      <c r="K81" s="48"/>
      <c r="N81" s="75"/>
    </row>
    <row r="82" spans="2:14" ht="13.5" thickBot="1" x14ac:dyDescent="0.25">
      <c r="B82" s="74"/>
      <c r="C82" s="432" t="s">
        <v>333</v>
      </c>
      <c r="D82" s="244" t="s">
        <v>14</v>
      </c>
      <c r="E82" s="273" t="s">
        <v>338</v>
      </c>
      <c r="F82" s="441">
        <f>Long_ogive</f>
        <v>700</v>
      </c>
      <c r="G82" s="48"/>
      <c r="H82" s="48"/>
      <c r="I82" s="48"/>
      <c r="J82" s="48"/>
      <c r="K82" s="48"/>
      <c r="N82" s="75"/>
    </row>
    <row r="83" spans="2:14" x14ac:dyDescent="0.2">
      <c r="B83" s="74"/>
      <c r="C83" s="277" t="s">
        <v>334</v>
      </c>
      <c r="D83" s="433">
        <f ca="1">TODAY()</f>
        <v>46108</v>
      </c>
      <c r="E83" s="48"/>
      <c r="F83" s="436"/>
      <c r="G83" s="48"/>
      <c r="H83" s="48"/>
      <c r="I83" s="48"/>
      <c r="J83" s="48"/>
      <c r="K83" s="48"/>
      <c r="N83" s="75"/>
    </row>
    <row r="84" spans="2:14" ht="13.5" thickBot="1" x14ac:dyDescent="0.25">
      <c r="B84" s="74"/>
      <c r="E84" s="48"/>
      <c r="F84" s="436"/>
      <c r="G84" s="48"/>
      <c r="H84" s="48"/>
      <c r="I84" s="48"/>
      <c r="J84" s="440" t="str">
        <f>IF(RIGHT(Nb_diam,1)=",", "", X_j)</f>
        <v/>
      </c>
      <c r="K84" s="48"/>
      <c r="N84" s="75"/>
    </row>
    <row r="85" spans="2:14" ht="13.5" thickBot="1" x14ac:dyDescent="0.25">
      <c r="B85" s="74"/>
      <c r="C85" s="275" t="s">
        <v>335</v>
      </c>
      <c r="D85" s="243" t="str">
        <f>Propu</f>
        <v>Pro98-6G Green</v>
      </c>
      <c r="E85" s="273" t="s">
        <v>339</v>
      </c>
      <c r="F85" s="441">
        <f>D_og</f>
        <v>150</v>
      </c>
      <c r="G85" s="48"/>
      <c r="H85" s="48"/>
      <c r="I85" s="48"/>
      <c r="J85" s="436"/>
      <c r="K85" s="48"/>
      <c r="N85" s="75"/>
    </row>
    <row r="86" spans="2:14" x14ac:dyDescent="0.2">
      <c r="B86" s="74"/>
      <c r="C86" s="277" t="s">
        <v>336</v>
      </c>
      <c r="D86" s="260" t="s">
        <v>14</v>
      </c>
      <c r="E86" s="48"/>
      <c r="F86" s="436"/>
      <c r="G86" s="48"/>
      <c r="H86" s="48"/>
      <c r="I86" s="48"/>
      <c r="J86" s="440" t="str">
        <f>IF(RIGHT(Nb_diam,1)=",", "", X_r)</f>
        <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t="str">
        <f>IF(RIGHT(Nb_diam,1)=",", "", l_j)</f>
        <v/>
      </c>
      <c r="K88" s="48"/>
      <c r="N88" s="75"/>
    </row>
    <row r="89" spans="2:14" ht="13.5" thickBot="1" x14ac:dyDescent="0.25">
      <c r="B89" s="74"/>
      <c r="E89" s="48"/>
      <c r="F89" s="436"/>
      <c r="G89" s="48"/>
      <c r="H89" s="48"/>
      <c r="I89" s="48"/>
      <c r="J89" s="436"/>
      <c r="K89" s="48"/>
      <c r="N89" s="75"/>
    </row>
    <row r="90" spans="2:14" ht="13.5" thickBot="1" x14ac:dyDescent="0.25">
      <c r="B90" s="74"/>
      <c r="E90" s="434" t="s">
        <v>340</v>
      </c>
      <c r="F90" s="440" t="str">
        <f>IF(RIGHT(Nb_diam,1)=",", "", D2j)</f>
        <v/>
      </c>
      <c r="G90" s="48"/>
      <c r="H90" s="48"/>
      <c r="I90" s="48"/>
      <c r="J90" s="441">
        <f>X_ail-m_ail</f>
        <v>2340</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t="str">
        <f>IF(RIGHT(Nb_diam,1)=",", "", l_r)</f>
        <v/>
      </c>
      <c r="K92" s="48"/>
      <c r="N92" s="75"/>
    </row>
    <row r="93" spans="2:14" x14ac:dyDescent="0.2">
      <c r="B93" s="74"/>
      <c r="E93" s="48"/>
      <c r="F93" s="436"/>
      <c r="G93" s="48"/>
      <c r="H93" s="48"/>
      <c r="I93" s="48"/>
      <c r="J93" s="436"/>
      <c r="K93" s="48"/>
      <c r="N93" s="75"/>
    </row>
    <row r="94" spans="2:14" x14ac:dyDescent="0.2">
      <c r="B94" s="74"/>
      <c r="E94" s="434" t="s">
        <v>341</v>
      </c>
      <c r="F94" s="440" t="str">
        <f>IF(RIGHT(Nb_diam,1)=",", "", D2r)</f>
        <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342</v>
      </c>
      <c r="F97" s="441">
        <f>m_ail</f>
        <v>360</v>
      </c>
      <c r="G97" s="48"/>
      <c r="H97" s="48"/>
      <c r="I97" s="48"/>
      <c r="J97" s="441">
        <f>p_ail</f>
        <v>310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344</v>
      </c>
      <c r="E100" s="246">
        <f>Q_ail</f>
        <v>4</v>
      </c>
      <c r="F100" s="430"/>
      <c r="G100" s="48"/>
      <c r="H100" s="48"/>
      <c r="I100" s="48"/>
      <c r="J100" s="436"/>
      <c r="K100" s="48"/>
      <c r="N100" s="75"/>
    </row>
    <row r="101" spans="2:14" ht="13.5" thickBot="1" x14ac:dyDescent="0.25">
      <c r="B101" s="74"/>
      <c r="D101" s="437" t="s">
        <v>348</v>
      </c>
      <c r="E101" s="6">
        <f ca="1">XpropuRef-Long_propu</f>
        <v>1690</v>
      </c>
      <c r="F101" s="252"/>
      <c r="G101" s="48"/>
      <c r="H101" s="48"/>
      <c r="I101" s="48"/>
      <c r="J101" s="441">
        <f>n_ail</f>
        <v>210</v>
      </c>
      <c r="K101" s="2"/>
      <c r="N101" s="75"/>
    </row>
    <row r="102" spans="2:14" x14ac:dyDescent="0.2">
      <c r="B102" s="74"/>
      <c r="D102" s="437" t="s">
        <v>345</v>
      </c>
      <c r="E102" s="6">
        <f>IF(LEFT(Forme_ogive,4)="Ogiv",1,0)</f>
        <v>0</v>
      </c>
      <c r="F102" s="252" t="s">
        <v>346</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347</v>
      </c>
      <c r="G104" s="48"/>
      <c r="H104" s="48"/>
      <c r="I104" s="48"/>
      <c r="J104" s="12" t="s">
        <v>343</v>
      </c>
      <c r="K104" s="48"/>
      <c r="N104" s="75"/>
    </row>
    <row r="105" spans="2:14" ht="13.5" thickBot="1" x14ac:dyDescent="0.25">
      <c r="B105" s="74"/>
      <c r="D105" s="2"/>
      <c r="E105" s="2"/>
      <c r="F105" s="2"/>
      <c r="G105" s="273"/>
      <c r="H105" s="441">
        <f>E_ail</f>
        <v>220</v>
      </c>
      <c r="I105" s="273"/>
      <c r="J105" s="441">
        <f>ep_ail</f>
        <v>2</v>
      </c>
      <c r="K105" s="48"/>
      <c r="N105" s="75"/>
    </row>
    <row r="106" spans="2:14" x14ac:dyDescent="0.2">
      <c r="B106" s="74"/>
      <c r="D106" s="429"/>
      <c r="E106" s="246" t="s">
        <v>352</v>
      </c>
      <c r="F106" s="243" t="s">
        <v>351</v>
      </c>
      <c r="N106" s="75"/>
    </row>
    <row r="107" spans="2:14" x14ac:dyDescent="0.2">
      <c r="B107" s="74"/>
      <c r="D107" s="437" t="s">
        <v>349</v>
      </c>
      <c r="E107" s="6">
        <f ca="1">MasseSans</f>
        <v>10.424999999999999</v>
      </c>
      <c r="F107" s="244">
        <f ca="1">MassePlein</f>
        <v>23.672999999999998</v>
      </c>
      <c r="N107" s="75"/>
    </row>
    <row r="108" spans="2:14" x14ac:dyDescent="0.2">
      <c r="B108" s="74"/>
      <c r="D108" s="431" t="s">
        <v>350</v>
      </c>
      <c r="E108" s="274">
        <f ca="1">XcgSans</f>
        <v>1749.9248920863311</v>
      </c>
      <c r="F108" s="260">
        <f ca="1">XcgPlein</f>
        <v>1999</v>
      </c>
      <c r="N108" s="75"/>
    </row>
    <row r="109" spans="2:14" x14ac:dyDescent="0.2">
      <c r="B109" s="74"/>
      <c r="N109" s="75"/>
    </row>
    <row r="110" spans="2:14" x14ac:dyDescent="0.2">
      <c r="B110" s="74"/>
      <c r="D110" s="438" t="s">
        <v>353</v>
      </c>
      <c r="E110" s="439">
        <f ca="1">MasseVide</f>
        <v>15.088999999999999</v>
      </c>
      <c r="G110" s="429" t="s">
        <v>354</v>
      </c>
      <c r="H110" s="265"/>
      <c r="I110" s="265"/>
      <c r="J110" s="266"/>
      <c r="N110" s="75"/>
    </row>
    <row r="111" spans="2:14" x14ac:dyDescent="0.2">
      <c r="B111" s="74"/>
      <c r="G111" s="276" t="s">
        <v>213</v>
      </c>
      <c r="H111" s="6">
        <f>Beta_rampe</f>
        <v>75</v>
      </c>
      <c r="I111" s="6">
        <v>80</v>
      </c>
      <c r="J111" s="244">
        <v>90</v>
      </c>
      <c r="N111" s="75"/>
    </row>
    <row r="112" spans="2:14" x14ac:dyDescent="0.2">
      <c r="B112" s="74"/>
      <c r="G112" s="278" t="s">
        <v>215</v>
      </c>
      <c r="H112" s="247">
        <f ca="1">Temps_culmi</f>
        <v>26.199999999999989</v>
      </c>
      <c r="I112" s="259"/>
      <c r="J112" s="268"/>
      <c r="N112" s="75"/>
    </row>
    <row r="113" spans="2:14" ht="12.75" customHeight="1" x14ac:dyDescent="0.25">
      <c r="B113" s="74"/>
      <c r="D113" s="435" t="s">
        <v>355</v>
      </c>
      <c r="E113" s="48"/>
      <c r="G113" s="278" t="s">
        <v>216</v>
      </c>
      <c r="H113" s="242">
        <f ca="1">Altitude_culmi</f>
        <v>4270.8545508077032</v>
      </c>
      <c r="I113" s="259"/>
      <c r="J113" s="268"/>
      <c r="N113" s="75"/>
    </row>
    <row r="114" spans="2:14" ht="12.75" customHeight="1" x14ac:dyDescent="0.25">
      <c r="B114" s="74"/>
      <c r="D114" s="48"/>
      <c r="E114" s="48"/>
      <c r="F114" s="435"/>
      <c r="G114" s="278" t="s">
        <v>217</v>
      </c>
      <c r="H114" s="248">
        <f ca="1">Vit_culmi</f>
        <v>57.45950764785124</v>
      </c>
      <c r="I114" s="259"/>
      <c r="J114" s="268"/>
      <c r="N114" s="75"/>
    </row>
    <row r="115" spans="2:14" x14ac:dyDescent="0.2">
      <c r="B115" s="74"/>
      <c r="C115" s="429" t="s">
        <v>356</v>
      </c>
      <c r="D115" s="249"/>
      <c r="E115" s="446">
        <v>0.1</v>
      </c>
      <c r="G115" s="278" t="s">
        <v>133</v>
      </c>
      <c r="H115" s="242" t="e">
        <f ca="1">Portee_balistique</f>
        <v>#N/A</v>
      </c>
      <c r="I115" s="259"/>
      <c r="J115" s="268"/>
      <c r="N115" s="75"/>
    </row>
    <row r="116" spans="2:14" ht="12.75" customHeight="1" x14ac:dyDescent="0.2">
      <c r="B116" s="74"/>
      <c r="C116" s="431" t="s">
        <v>357</v>
      </c>
      <c r="D116" s="255"/>
      <c r="E116" s="447">
        <f>E_ail*(m_ail+n_ail)/2</f>
        <v>62700</v>
      </c>
      <c r="G116" s="278" t="s">
        <v>137</v>
      </c>
      <c r="H116" s="248">
        <f ca="1">Vit_max</f>
        <v>455.60156621233614</v>
      </c>
      <c r="I116" s="259"/>
      <c r="J116" s="268"/>
      <c r="N116" s="75"/>
    </row>
    <row r="117" spans="2:14" ht="12.75" customHeight="1" x14ac:dyDescent="0.2">
      <c r="B117" s="74"/>
      <c r="D117" s="48"/>
      <c r="E117" s="48"/>
      <c r="F117" s="48"/>
      <c r="G117" s="278" t="s">
        <v>136</v>
      </c>
      <c r="H117" s="242">
        <f ca="1">Acc_max</f>
        <v>84.667705685844993</v>
      </c>
      <c r="I117" s="259"/>
      <c r="J117" s="268"/>
      <c r="N117" s="75"/>
    </row>
    <row r="118" spans="2:14" x14ac:dyDescent="0.2">
      <c r="B118" s="74"/>
      <c r="C118" s="429" t="s">
        <v>358</v>
      </c>
      <c r="D118" s="249"/>
      <c r="E118" s="457"/>
      <c r="F118" s="458">
        <f>J90/100</f>
        <v>23.4</v>
      </c>
      <c r="G118" s="276" t="s">
        <v>5</v>
      </c>
      <c r="H118" s="6">
        <f>Cx</f>
        <v>0.6</v>
      </c>
      <c r="I118" s="259"/>
      <c r="J118" s="268"/>
      <c r="N118" s="75"/>
    </row>
    <row r="119" spans="2:14" x14ac:dyDescent="0.2">
      <c r="B119" s="74"/>
      <c r="C119" s="437" t="s">
        <v>359</v>
      </c>
      <c r="D119" s="2"/>
      <c r="E119" s="459">
        <f ca="1">2*Acc_max*MasseSans</f>
        <v>1765.3216635498679</v>
      </c>
      <c r="F119" s="460">
        <f ca="1">E119/g</f>
        <v>179.95123991334026</v>
      </c>
      <c r="G119" s="269" t="s">
        <v>222</v>
      </c>
      <c r="H119" s="270"/>
      <c r="I119" s="270"/>
      <c r="J119" s="271"/>
      <c r="N119" s="75"/>
    </row>
    <row r="120" spans="2:14" x14ac:dyDescent="0.2">
      <c r="B120" s="74"/>
      <c r="C120" s="437" t="s">
        <v>360</v>
      </c>
      <c r="D120" s="2"/>
      <c r="E120" s="459">
        <f ca="1">2*Acc_max*E115</f>
        <v>16.933541137168998</v>
      </c>
      <c r="F120" s="460">
        <f ca="1">E120/g</f>
        <v>1.7261509823821608</v>
      </c>
      <c r="N120" s="75"/>
    </row>
    <row r="121" spans="2:14" x14ac:dyDescent="0.2">
      <c r="B121" s="74"/>
      <c r="C121" s="431" t="s">
        <v>361</v>
      </c>
      <c r="D121" s="255"/>
      <c r="E121" s="452">
        <f ca="1">0.104*E116/1000000*Vit_max^2</f>
        <v>1353.5406303507798</v>
      </c>
      <c r="F121" s="453">
        <f ca="1">E121/g</f>
        <v>137.97559942413656</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362</v>
      </c>
      <c r="E124" s="448"/>
      <c r="J124" s="48"/>
      <c r="K124" s="48"/>
      <c r="N124" s="75"/>
    </row>
    <row r="125" spans="2:14" x14ac:dyDescent="0.2">
      <c r="B125" s="74"/>
      <c r="C125" s="445" t="s">
        <v>363</v>
      </c>
      <c r="J125" s="48"/>
      <c r="K125" s="48"/>
      <c r="N125" s="75"/>
    </row>
    <row r="126" spans="2:14" x14ac:dyDescent="0.2">
      <c r="B126" s="74"/>
      <c r="C126" s="429" t="s">
        <v>364</v>
      </c>
      <c r="D126" s="249"/>
      <c r="E126" s="449">
        <v>4</v>
      </c>
      <c r="G126" s="48"/>
      <c r="J126" s="48"/>
      <c r="N126" s="75"/>
    </row>
    <row r="127" spans="2:14" x14ac:dyDescent="0.2">
      <c r="B127" s="74"/>
      <c r="C127" s="431" t="s">
        <v>365</v>
      </c>
      <c r="D127" s="255"/>
      <c r="E127" s="456">
        <f>S_para</f>
        <v>0.62831853071795862</v>
      </c>
      <c r="G127" s="48"/>
      <c r="J127" s="48"/>
      <c r="N127" s="75"/>
    </row>
    <row r="128" spans="2:14" x14ac:dyDescent="0.2">
      <c r="B128" s="74"/>
      <c r="C128" s="670" t="s">
        <v>366</v>
      </c>
      <c r="D128" s="671"/>
      <c r="E128" s="450">
        <f ca="1">0.5*Rho_moyen*S_para*Vit_culmi^2</f>
        <v>1270.6026655117014</v>
      </c>
      <c r="F128" s="451">
        <f ca="1">E128/g</f>
        <v>129.52116875756386</v>
      </c>
      <c r="H128" s="48"/>
      <c r="I128" s="48"/>
      <c r="J128" s="48"/>
      <c r="K128" s="48"/>
      <c r="N128" s="75"/>
    </row>
    <row r="129" spans="2:14" x14ac:dyDescent="0.2">
      <c r="B129" s="74"/>
      <c r="C129" s="668" t="s">
        <v>367</v>
      </c>
      <c r="D129" s="669"/>
      <c r="E129" s="452">
        <f ca="1">E128/E126*2</f>
        <v>635.30133275585069</v>
      </c>
      <c r="F129" s="453">
        <f ca="1">E129/g</f>
        <v>64.760584378781928</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368</v>
      </c>
      <c r="D131" s="48"/>
      <c r="E131" s="48"/>
      <c r="F131" s="48"/>
      <c r="G131" s="48"/>
      <c r="H131" s="48"/>
      <c r="I131" s="48"/>
      <c r="J131" s="48"/>
      <c r="K131" s="48"/>
      <c r="N131" s="75"/>
    </row>
    <row r="132" spans="2:14" x14ac:dyDescent="0.2">
      <c r="B132" s="74"/>
      <c r="C132" s="670" t="s">
        <v>369</v>
      </c>
      <c r="D132" s="671"/>
      <c r="E132" s="454">
        <v>1</v>
      </c>
      <c r="F132" s="48"/>
      <c r="G132" s="48"/>
      <c r="H132" s="48"/>
      <c r="I132" s="48"/>
      <c r="J132" s="442"/>
      <c r="K132" s="48"/>
      <c r="N132" s="75"/>
    </row>
    <row r="133" spans="2:14" x14ac:dyDescent="0.2">
      <c r="B133" s="74"/>
      <c r="C133" s="668" t="s">
        <v>370</v>
      </c>
      <c r="D133" s="669"/>
      <c r="E133" s="455">
        <f ca="1">2*E132*Acc_max/g</f>
        <v>17.261509823821608</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H11:I11"/>
    <mergeCell ref="H12:I12"/>
    <mergeCell ref="H13:I13"/>
    <mergeCell ref="H29:K29"/>
    <mergeCell ref="C29:C30"/>
    <mergeCell ref="D29:D30"/>
    <mergeCell ref="H17:I17"/>
    <mergeCell ref="H18:I18"/>
    <mergeCell ref="H19:I19"/>
    <mergeCell ref="E29:G30"/>
    <mergeCell ref="E31:G31"/>
    <mergeCell ref="M29:M30"/>
    <mergeCell ref="H30:I30"/>
    <mergeCell ref="L29:L30"/>
    <mergeCell ref="H31:I31"/>
    <mergeCell ref="C133:D133"/>
    <mergeCell ref="C128:D128"/>
    <mergeCell ref="C129:D129"/>
    <mergeCell ref="C132:D132"/>
    <mergeCell ref="H44:I44"/>
    <mergeCell ref="H45:I45"/>
    <mergeCell ref="H46:I46"/>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Owen Liu</cp:lastModifiedBy>
  <cp:lastPrinted>2011-11-08T21:12:34Z</cp:lastPrinted>
  <dcterms:created xsi:type="dcterms:W3CDTF">2008-11-03T20:48:06Z</dcterms:created>
  <dcterms:modified xsi:type="dcterms:W3CDTF">2026-03-26T23:05:57Z</dcterms:modified>
</cp:coreProperties>
</file>